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ynne.whitmore\Downloads\"/>
    </mc:Choice>
  </mc:AlternateContent>
  <xr:revisionPtr revIDLastSave="0" documentId="13_ncr:1_{04285440-7C0B-4042-8897-5B25F1128F7C}" xr6:coauthVersionLast="47" xr6:coauthVersionMax="47" xr10:uidLastSave="{00000000-0000-0000-0000-000000000000}"/>
  <bookViews>
    <workbookView xWindow="1152" yWindow="720" windowWidth="21540" windowHeight="13680" firstSheet="4" xr2:uid="{00000000-000D-0000-FFFF-FFFF00000000}"/>
  </bookViews>
  <sheets>
    <sheet name="Introduction" sheetId="13" r:id="rId1"/>
    <sheet name="Double Hung" sheetId="9" r:id="rId2"/>
    <sheet name="Slider" sheetId="15" r:id="rId3"/>
    <sheet name="Slider Not Centered" sheetId="2" r:id="rId4"/>
    <sheet name="T&amp;T" sheetId="16" r:id="rId5"/>
    <sheet name="T&amp;T Not Centered" sheetId="17" r:id="rId6"/>
    <sheet name="Picture+Awning+Casement" sheetId="14" r:id="rId7"/>
    <sheet name="PW+AWN+CS IG Not Centered" sheetId="11" r:id="rId8"/>
    <sheet name="3-Lite Slider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7" l="1"/>
  <c r="H25" i="17"/>
  <c r="I20" i="17"/>
  <c r="H20" i="17"/>
  <c r="F9" i="17"/>
  <c r="F8" i="17" s="1"/>
  <c r="F7" i="17"/>
  <c r="F6" i="17"/>
  <c r="C30" i="17" s="1"/>
  <c r="I25" i="16"/>
  <c r="H25" i="16"/>
  <c r="I20" i="16"/>
  <c r="H20" i="16"/>
  <c r="F9" i="16"/>
  <c r="F6" i="16"/>
  <c r="F7" i="16" s="1"/>
  <c r="F36" i="15"/>
  <c r="F34" i="15"/>
  <c r="I28" i="15"/>
  <c r="H28" i="15"/>
  <c r="I27" i="15"/>
  <c r="H27" i="15"/>
  <c r="I26" i="15"/>
  <c r="H26" i="15"/>
  <c r="I25" i="15"/>
  <c r="H25" i="15"/>
  <c r="I23" i="15"/>
  <c r="H23" i="15"/>
  <c r="I22" i="15"/>
  <c r="H22" i="15"/>
  <c r="I21" i="15"/>
  <c r="H21" i="15"/>
  <c r="I20" i="15"/>
  <c r="H20" i="15"/>
  <c r="F14" i="15"/>
  <c r="F15" i="15" s="1"/>
  <c r="C34" i="15" s="1"/>
  <c r="C36" i="15" s="1"/>
  <c r="F22" i="15" s="1"/>
  <c r="F13" i="15"/>
  <c r="F11" i="15"/>
  <c r="F12" i="15" s="1"/>
  <c r="F10" i="15"/>
  <c r="F9" i="15"/>
  <c r="F8" i="15"/>
  <c r="F6" i="15"/>
  <c r="F7" i="15" s="1"/>
  <c r="C29" i="17" l="1"/>
  <c r="C32" i="17"/>
  <c r="F21" i="17" s="1"/>
  <c r="K27" i="17"/>
  <c r="C31" i="17"/>
  <c r="F20" i="17" s="1"/>
  <c r="M20" i="17" s="1"/>
  <c r="K28" i="17"/>
  <c r="C30" i="16"/>
  <c r="C32" i="16" s="1"/>
  <c r="F21" i="16" s="1"/>
  <c r="F8" i="16"/>
  <c r="C29" i="16" s="1"/>
  <c r="C31" i="16" s="1"/>
  <c r="F20" i="16" s="1"/>
  <c r="L21" i="15"/>
  <c r="C30" i="15"/>
  <c r="C32" i="15" s="1"/>
  <c r="F21" i="15" s="1"/>
  <c r="G21" i="15"/>
  <c r="F26" i="15"/>
  <c r="J21" i="15"/>
  <c r="M21" i="15"/>
  <c r="L22" i="15"/>
  <c r="G22" i="15"/>
  <c r="J22" i="15"/>
  <c r="M22" i="15"/>
  <c r="C35" i="15"/>
  <c r="C37" i="15" s="1"/>
  <c r="F23" i="15" s="1"/>
  <c r="M23" i="15" s="1"/>
  <c r="C29" i="15"/>
  <c r="C31" i="15" s="1"/>
  <c r="F20" i="15" s="1"/>
  <c r="G20" i="17" l="1"/>
  <c r="G25" i="17" s="1"/>
  <c r="J20" i="17"/>
  <c r="L20" i="17"/>
  <c r="F25" i="17"/>
  <c r="F26" i="17"/>
  <c r="J21" i="17"/>
  <c r="I21" i="17"/>
  <c r="H21" i="17"/>
  <c r="G21" i="17"/>
  <c r="G20" i="16"/>
  <c r="G25" i="16" s="1"/>
  <c r="F25" i="16"/>
  <c r="I21" i="16"/>
  <c r="I26" i="16" s="1"/>
  <c r="H21" i="16"/>
  <c r="H26" i="16" s="1"/>
  <c r="F26" i="16"/>
  <c r="G21" i="16"/>
  <c r="G26" i="16" s="1"/>
  <c r="G26" i="15"/>
  <c r="K21" i="15"/>
  <c r="G20" i="15"/>
  <c r="G25" i="15" s="1"/>
  <c r="F25" i="15"/>
  <c r="J20" i="15"/>
  <c r="K27" i="15"/>
  <c r="G27" i="15"/>
  <c r="K22" i="15"/>
  <c r="F28" i="15"/>
  <c r="G23" i="15"/>
  <c r="J23" i="15"/>
  <c r="L20" i="15"/>
  <c r="M20" i="15"/>
  <c r="F27" i="15"/>
  <c r="L23" i="15"/>
  <c r="F14" i="2"/>
  <c r="I26" i="17" l="1"/>
  <c r="M21" i="17"/>
  <c r="G26" i="17"/>
  <c r="K21" i="17"/>
  <c r="L21" i="17"/>
  <c r="H26" i="17"/>
  <c r="K20" i="17"/>
  <c r="C39" i="2"/>
  <c r="C38" i="2"/>
  <c r="F15" i="2" s="1"/>
  <c r="G28" i="15"/>
  <c r="K23" i="15"/>
  <c r="K20" i="15"/>
  <c r="F14" i="12"/>
  <c r="F13" i="12" l="1"/>
  <c r="F12" i="12"/>
  <c r="F9" i="14" l="1"/>
  <c r="F6" i="14"/>
  <c r="F7" i="14" l="1"/>
  <c r="I25" i="14" l="1"/>
  <c r="H25" i="14"/>
  <c r="I20" i="14"/>
  <c r="H20" i="14"/>
  <c r="F8" i="14"/>
  <c r="C29" i="14" l="1"/>
  <c r="C31" i="14" s="1"/>
  <c r="F20" i="14" s="1"/>
  <c r="G20" i="14" s="1"/>
  <c r="G25" i="14" s="1"/>
  <c r="C30" i="14"/>
  <c r="C32" i="14" s="1"/>
  <c r="F21" i="14" s="1"/>
  <c r="F26" i="14" s="1"/>
  <c r="F7" i="11"/>
  <c r="F6" i="11"/>
  <c r="F25" i="14" l="1"/>
  <c r="G21" i="14"/>
  <c r="G26" i="14" s="1"/>
  <c r="H21" i="14"/>
  <c r="H26" i="14" s="1"/>
  <c r="I21" i="14"/>
  <c r="I26" i="14" s="1"/>
  <c r="F13" i="2" l="1"/>
  <c r="C34" i="2" s="1"/>
  <c r="F8" i="2"/>
  <c r="C29" i="2" s="1"/>
  <c r="F14" i="9" l="1"/>
  <c r="F15" i="9" s="1"/>
  <c r="F13" i="9"/>
  <c r="F8" i="9"/>
  <c r="F9" i="11" l="1"/>
  <c r="I27" i="12" l="1"/>
  <c r="I25" i="12"/>
  <c r="F6" i="12"/>
  <c r="F7" i="12" s="1"/>
  <c r="F9" i="12"/>
  <c r="F34" i="12"/>
  <c r="I29" i="12"/>
  <c r="F36" i="12"/>
  <c r="F10" i="12"/>
  <c r="F11" i="12" s="1"/>
  <c r="F8" i="12"/>
  <c r="C37" i="12" l="1"/>
  <c r="C39" i="12" s="1"/>
  <c r="F23" i="12" s="1"/>
  <c r="C32" i="12"/>
  <c r="C34" i="12" s="1"/>
  <c r="F21" i="12" s="1"/>
  <c r="C30" i="11"/>
  <c r="K27" i="11" s="1"/>
  <c r="F6" i="9"/>
  <c r="F6" i="2"/>
  <c r="C31" i="12" l="1"/>
  <c r="H23" i="12"/>
  <c r="L23" i="12" s="1"/>
  <c r="F30" i="12"/>
  <c r="I23" i="12"/>
  <c r="H21" i="12"/>
  <c r="H26" i="12" s="1"/>
  <c r="I21" i="12"/>
  <c r="I26" i="12" s="1"/>
  <c r="F26" i="12"/>
  <c r="G21" i="12"/>
  <c r="G26" i="12" s="1"/>
  <c r="J21" i="12"/>
  <c r="F28" i="12"/>
  <c r="G23" i="12"/>
  <c r="G30" i="12" s="1"/>
  <c r="J23" i="12"/>
  <c r="F8" i="11"/>
  <c r="C29" i="11" s="1"/>
  <c r="C31" i="11" s="1"/>
  <c r="C32" i="11"/>
  <c r="F21" i="11" s="1"/>
  <c r="I21" i="11" s="1"/>
  <c r="I26" i="11" s="1"/>
  <c r="F7" i="9"/>
  <c r="C29" i="9" s="1"/>
  <c r="C31" i="9" s="1"/>
  <c r="F20" i="9" s="1"/>
  <c r="F9" i="9"/>
  <c r="F10" i="9"/>
  <c r="F11" i="9"/>
  <c r="F12" i="9" s="1"/>
  <c r="C30" i="9"/>
  <c r="I20" i="9"/>
  <c r="I21" i="9"/>
  <c r="I22" i="9"/>
  <c r="I23" i="9"/>
  <c r="I25" i="9"/>
  <c r="I26" i="9"/>
  <c r="I27" i="9"/>
  <c r="I28" i="9"/>
  <c r="F34" i="9"/>
  <c r="F36" i="9"/>
  <c r="M21" i="12" l="1"/>
  <c r="L21" i="12"/>
  <c r="I28" i="12"/>
  <c r="I30" i="12"/>
  <c r="M23" i="12"/>
  <c r="H28" i="12"/>
  <c r="H30" i="12"/>
  <c r="K21" i="12"/>
  <c r="G28" i="12"/>
  <c r="K23" i="12"/>
  <c r="C34" i="9"/>
  <c r="C36" i="9" s="1"/>
  <c r="F22" i="9" s="1"/>
  <c r="M21" i="11"/>
  <c r="F26" i="11"/>
  <c r="F20" i="11"/>
  <c r="K28" i="11"/>
  <c r="J21" i="11"/>
  <c r="G21" i="11"/>
  <c r="G26" i="11" s="1"/>
  <c r="H21" i="11"/>
  <c r="H26" i="11" s="1"/>
  <c r="C32" i="9"/>
  <c r="F21" i="9" s="1"/>
  <c r="H20" i="9"/>
  <c r="J20" i="9"/>
  <c r="F25" i="9"/>
  <c r="G20" i="9"/>
  <c r="G25" i="9" s="1"/>
  <c r="F36" i="2"/>
  <c r="F34" i="2"/>
  <c r="C36" i="2" s="1"/>
  <c r="F9" i="2"/>
  <c r="F11" i="2"/>
  <c r="F10" i="2"/>
  <c r="G22" i="9" l="1"/>
  <c r="G27" i="9" s="1"/>
  <c r="J22" i="9"/>
  <c r="C35" i="9"/>
  <c r="C37" i="9" s="1"/>
  <c r="F23" i="9" s="1"/>
  <c r="F27" i="9"/>
  <c r="H22" i="9"/>
  <c r="H20" i="11"/>
  <c r="H25" i="11" s="1"/>
  <c r="I20" i="11"/>
  <c r="I25" i="11" s="1"/>
  <c r="F25" i="11"/>
  <c r="L21" i="11"/>
  <c r="K21" i="11"/>
  <c r="J20" i="11"/>
  <c r="G20" i="11"/>
  <c r="G25" i="11" s="1"/>
  <c r="K20" i="9"/>
  <c r="H21" i="9"/>
  <c r="J21" i="9"/>
  <c r="G21" i="9"/>
  <c r="K22" i="9"/>
  <c r="H25" i="9"/>
  <c r="F12" i="2"/>
  <c r="C35" i="2" l="1"/>
  <c r="C37" i="2" s="1"/>
  <c r="F23" i="2" s="1"/>
  <c r="K27" i="9"/>
  <c r="G23" i="9"/>
  <c r="G28" i="9" s="1"/>
  <c r="F26" i="9"/>
  <c r="H23" i="9"/>
  <c r="H28" i="9" s="1"/>
  <c r="L20" i="11"/>
  <c r="J23" i="9"/>
  <c r="H27" i="9"/>
  <c r="F28" i="9"/>
  <c r="M20" i="11"/>
  <c r="K20" i="11"/>
  <c r="H26" i="9"/>
  <c r="K21" i="9"/>
  <c r="G26" i="9"/>
  <c r="H23" i="2"/>
  <c r="H28" i="2" s="1"/>
  <c r="I23" i="2"/>
  <c r="I28" i="2" s="1"/>
  <c r="F7" i="2"/>
  <c r="C30" i="2" s="1"/>
  <c r="C32" i="2" s="1"/>
  <c r="F21" i="2" s="1"/>
  <c r="F28" i="2" l="1"/>
  <c r="G23" i="2"/>
  <c r="G28" i="2" s="1"/>
  <c r="K23" i="9"/>
  <c r="I21" i="2"/>
  <c r="I26" i="2" s="1"/>
  <c r="H21" i="2"/>
  <c r="H26" i="2" s="1"/>
  <c r="G21" i="2"/>
  <c r="F26" i="2"/>
  <c r="J21" i="2"/>
  <c r="J23" i="2"/>
  <c r="L23" i="2"/>
  <c r="M23" i="2"/>
  <c r="K23" i="2" l="1"/>
  <c r="C31" i="2"/>
  <c r="F20" i="2" s="1"/>
  <c r="H20" i="2" s="1"/>
  <c r="H25" i="2" s="1"/>
  <c r="F22" i="2"/>
  <c r="H22" i="2" s="1"/>
  <c r="M21" i="2"/>
  <c r="L21" i="2"/>
  <c r="I20" i="2"/>
  <c r="I25" i="2" s="1"/>
  <c r="G26" i="2"/>
  <c r="K21" i="2"/>
  <c r="J20" i="2" l="1"/>
  <c r="F25" i="2"/>
  <c r="G20" i="2"/>
  <c r="G25" i="2" s="1"/>
  <c r="K27" i="2"/>
  <c r="M20" i="2"/>
  <c r="I22" i="2"/>
  <c r="I27" i="2" s="1"/>
  <c r="H27" i="2"/>
  <c r="L20" i="2"/>
  <c r="G22" i="2"/>
  <c r="F27" i="2"/>
  <c r="J22" i="2"/>
  <c r="K20" i="2" l="1"/>
  <c r="M22" i="2"/>
  <c r="L22" i="2"/>
  <c r="G27" i="2"/>
  <c r="K22" i="2"/>
  <c r="C36" i="12"/>
  <c r="C38" i="12" s="1"/>
  <c r="F22" i="12" l="1"/>
  <c r="F27" i="12" s="1"/>
  <c r="C33" i="12"/>
  <c r="F20" i="12" s="1"/>
  <c r="F25" i="12" s="1"/>
  <c r="G22" i="12" l="1"/>
  <c r="G27" i="12" s="1"/>
  <c r="J22" i="12"/>
  <c r="H22" i="12"/>
  <c r="I22" i="12"/>
  <c r="F29" i="12"/>
  <c r="H20" i="12"/>
  <c r="H25" i="12" s="1"/>
  <c r="I20" i="12"/>
  <c r="J20" i="12"/>
  <c r="G20" i="12"/>
  <c r="G25" i="12" s="1"/>
  <c r="K22" i="12" l="1"/>
  <c r="G29" i="12"/>
  <c r="H29" i="12"/>
  <c r="H27" i="12"/>
  <c r="L22" i="12"/>
  <c r="L20" i="12"/>
  <c r="M22" i="12"/>
  <c r="M20" i="12"/>
  <c r="K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11" authorId="0" shapeId="0" xr:uid="{72C4B584-1D96-4B36-AA9A-8F7F2EB02F5C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Added to deturmine which width formula is used</t>
        </r>
      </text>
    </comment>
    <comment ref="L11" authorId="0" shapeId="0" xr:uid="{D54E339C-DEAB-4019-A2EF-C1F091D7679D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Added to deturmine which width formula is used</t>
        </r>
      </text>
    </comment>
  </commentList>
</comments>
</file>

<file path=xl/sharedStrings.xml><?xml version="1.0" encoding="utf-8"?>
<sst xmlns="http://schemas.openxmlformats.org/spreadsheetml/2006/main" count="357" uniqueCount="92">
  <si>
    <t>Input Name</t>
  </si>
  <si>
    <t>Value</t>
  </si>
  <si>
    <t>Mfg KS Glass Width</t>
  </si>
  <si>
    <t>Mfg KS Glass Height</t>
  </si>
  <si>
    <t>Mfg LS Glass Width</t>
  </si>
  <si>
    <t>Mfg LS Glass Height</t>
  </si>
  <si>
    <t>Output Name</t>
  </si>
  <si>
    <t>LS Grid Pattern Vertical Bar Quantity</t>
  </si>
  <si>
    <t>LS Grid Pattern Horizontal Bar Quantity</t>
  </si>
  <si>
    <t>ksig_gha</t>
  </si>
  <si>
    <t>ksig_gwa</t>
  </si>
  <si>
    <t>ksig_lxa</t>
  </si>
  <si>
    <t>ksig_rxa</t>
  </si>
  <si>
    <t>ksig_ya</t>
  </si>
  <si>
    <t>lsig_gha</t>
  </si>
  <si>
    <t>lsig_gwa</t>
  </si>
  <si>
    <t>lsig_lxa</t>
  </si>
  <si>
    <t>lsig_rxa</t>
  </si>
  <si>
    <t>lsig_ya</t>
  </si>
  <si>
    <t>mrail_offset</t>
  </si>
  <si>
    <t>IG KS Vertical Notches</t>
  </si>
  <si>
    <t>IG KS Horizontal Notches</t>
  </si>
  <si>
    <t>IG LS Vertical Notches</t>
  </si>
  <si>
    <t>IG LS Horizontal Notches</t>
  </si>
  <si>
    <t>Absolute KS Vertical Notches</t>
  </si>
  <si>
    <t>Absolute KS Horizontal Notches</t>
  </si>
  <si>
    <t>Absolute LS Vertical Notches</t>
  </si>
  <si>
    <t>Absolute LS Horizontal Notches</t>
  </si>
  <si>
    <t>Bottom of frame to bottom of LS glass (use caliper to measure)</t>
  </si>
  <si>
    <t>Top of frame to top of KS glass (use caliper to measure)</t>
  </si>
  <si>
    <t>GRID NOTCHING INFORMATION</t>
  </si>
  <si>
    <t>DISPLAY OBJECT DRAWING INPUT</t>
  </si>
  <si>
    <t>Mirrors Output From FeneVision Based on Input Settings Entered Here</t>
  </si>
  <si>
    <t>Recommended Typical Parameter Settings</t>
  </si>
  <si>
    <t>Grid Bar Cut Deduction (glass size - grid bar cut length) (GCB)</t>
  </si>
  <si>
    <t>Grid Bar Thickness (GW)</t>
  </si>
  <si>
    <t>KS Grid Pattern Vertical Bar Quantity (VBQ)</t>
  </si>
  <si>
    <t>KS Horizontal Display Opening (KSDOH)</t>
  </si>
  <si>
    <t>KS Grid Pattern Horizontal Bar Quantity (HBQ)</t>
  </si>
  <si>
    <t>KS Verticle Display Opening (KSDOV)</t>
  </si>
  <si>
    <t>mrail</t>
  </si>
  <si>
    <t>KS Horizontal Grid Length (KHGL)</t>
  </si>
  <si>
    <t>KS Verticle Grid Length (KVGL)</t>
  </si>
  <si>
    <t>LS Horizontal Grid Length (LHGL)</t>
  </si>
  <si>
    <t>LS Verticle Grid Length (LVGL)</t>
  </si>
  <si>
    <t>LS Horizontal Display Opening (LDOH)</t>
  </si>
  <si>
    <t>LS Verticle Display Opening (LDOV)</t>
  </si>
  <si>
    <t>Width Adjust</t>
  </si>
  <si>
    <t>Height Adjust</t>
  </si>
  <si>
    <t>ksig_bya</t>
  </si>
  <si>
    <t>ksig_tya</t>
  </si>
  <si>
    <t>ksig_xa</t>
  </si>
  <si>
    <t>lsig_bya</t>
  </si>
  <si>
    <t>lsig_tya</t>
  </si>
  <si>
    <t>lsig_xa</t>
  </si>
  <si>
    <t xml:space="preserve">       Test Numbers</t>
  </si>
  <si>
    <t>IG Verticle Display Opening (KSDOV)</t>
  </si>
  <si>
    <t>IG Horizontal Display Opening (KSDOH)</t>
  </si>
  <si>
    <t>IG Verticle Grid Length (KVGL)</t>
  </si>
  <si>
    <t>IG Horizontal Grid Length (KHGL)</t>
  </si>
  <si>
    <t>IG Grid Pattern Horizontal Bar Quantity (HBQ)</t>
  </si>
  <si>
    <t>IG Grid Pattern Vertical Bar Quantity (VBQ)</t>
  </si>
  <si>
    <t>ig_lxa</t>
  </si>
  <si>
    <t>ig_rxa</t>
  </si>
  <si>
    <t>ig_tya</t>
  </si>
  <si>
    <t>Mfg IG Glass Height</t>
  </si>
  <si>
    <t>ig_bya</t>
  </si>
  <si>
    <t>Mfg IG Glass Width</t>
  </si>
  <si>
    <t>ig_gwa</t>
  </si>
  <si>
    <t>ig_gha</t>
  </si>
  <si>
    <t>Picture/Awning/Casement Window Parameter Calculator</t>
  </si>
  <si>
    <t>Slider Window Parameter Calculator</t>
  </si>
  <si>
    <t>Double Hung Window Parameter Calculator</t>
  </si>
  <si>
    <t>Window ratio (424 or 333)</t>
  </si>
  <si>
    <t>Absolute LS-r Vertical Notches</t>
  </si>
  <si>
    <t>Absolute LS-r Horizontal Notches</t>
  </si>
  <si>
    <t>Absolute LS-l Vertical Notches</t>
  </si>
  <si>
    <t>Absolute LS-l Horizontal Notches</t>
  </si>
  <si>
    <t>Left of frame to left of KS glass (use caliper to measure)</t>
  </si>
  <si>
    <t>Right of frame to right of LS glass (use caliper to measure)</t>
  </si>
  <si>
    <t>Display Object Param Calculator</t>
  </si>
  <si>
    <t xml:space="preserve">The yellow highlighted fields are user inputs.  </t>
  </si>
  <si>
    <t>The remaining fields are output fields, do not type in the output fields.</t>
  </si>
  <si>
    <t>The values under the heading Recommended Typical Parameter Settings are the calculated display object parameters.  Enter them in the Setup-Parameters screen of Display Object Setup.</t>
  </si>
  <si>
    <t>The vlaues under Mirrors Output From FeneVision, display the notch locations the BOM will generate when using the Recommended Typical Parameter Settings.</t>
  </si>
  <si>
    <t>Beta Version</t>
  </si>
  <si>
    <t>This spreadsheet calculates display object parameters to facilitate generating notch locations and grid alignment.  There is a sheet for each type of window.  The PW+AWN+CS IG Not Centered sheet is for windows where the IG is not centered in the height, the frame material at the top and bottom is not the same.</t>
  </si>
  <si>
    <t>Ordered Width</t>
  </si>
  <si>
    <t>Ordered Height</t>
  </si>
  <si>
    <t>LS Mrail Calc</t>
  </si>
  <si>
    <t>KS Mrail Calc</t>
  </si>
  <si>
    <r>
      <t>3-Lite Slider Window Parameter Calculator (</t>
    </r>
    <r>
      <rPr>
        <sz val="11"/>
        <color rgb="FFFF0000"/>
        <rFont val="Calibri"/>
        <family val="2"/>
        <scheme val="minor"/>
      </rPr>
      <t xml:space="preserve">Use 333 Dimensions, </t>
    </r>
    <r>
      <rPr>
        <b/>
        <sz val="11"/>
        <color rgb="FFFF0000"/>
        <rFont val="Calibri"/>
        <family val="2"/>
        <scheme val="minor"/>
      </rPr>
      <t>NOT</t>
    </r>
    <r>
      <rPr>
        <sz val="11"/>
        <color rgb="FFFF0000"/>
        <rFont val="Calibri"/>
        <family val="2"/>
        <scheme val="minor"/>
      </rPr>
      <t xml:space="preserve"> 424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</si>
</sst>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0" borderId="0" xfId="0" applyFont="1"/>
    <xf numFmtId="0" fontId="0" fillId="3" borderId="0" xfId="0" applyFill="1"/>
    <xf numFmtId="0" fontId="1" fillId="3" borderId="0" xfId="0" applyFont="1" applyFill="1"/>
    <xf numFmtId="0" fontId="2" fillId="0" borderId="2" xfId="1" applyAlignment="1">
      <alignment horizontal="left"/>
    </xf>
    <xf numFmtId="0" fontId="2" fillId="0" borderId="2" xfId="1"/>
    <xf numFmtId="0" fontId="0" fillId="4" borderId="1" xfId="0" applyFill="1" applyBorder="1"/>
    <xf numFmtId="0" fontId="2" fillId="0" borderId="0" xfId="1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</cellXfs>
  <cellStyles count="2">
    <cellStyle name="Linked Cell" xfId="1" builtinId="24"/>
    <cellStyle name="Normal" xfId="0" builtinId="0"/>
  </cellStyles>
  <dxfs count="2"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theme="0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3FD3-CB6D-4E37-8CE1-A45E00865E71}">
  <dimension ref="A1:L13"/>
  <sheetViews>
    <sheetView tabSelected="1" workbookViewId="0">
      <selection activeCell="A5" sqref="A5:L5"/>
    </sheetView>
  </sheetViews>
  <sheetFormatPr defaultRowHeight="14.4" x14ac:dyDescent="0.3"/>
  <sheetData>
    <row r="1" spans="1:12" x14ac:dyDescent="0.3">
      <c r="A1" s="12" t="s">
        <v>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3">
      <c r="A3" s="13" t="s">
        <v>85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1:12" ht="45" customHeight="1" x14ac:dyDescent="0.3">
      <c r="A5" s="12" t="s">
        <v>86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7" spans="1:12" x14ac:dyDescent="0.3">
      <c r="A7" s="12" t="s">
        <v>81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x14ac:dyDescent="0.3">
      <c r="A8" s="12" t="s">
        <v>82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10" spans="1:12" ht="31.5" customHeight="1" x14ac:dyDescent="0.3">
      <c r="A10" s="12" t="s">
        <v>83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2" spans="1:12" ht="27.75" customHeight="1" x14ac:dyDescent="0.3">
      <c r="A12" s="12" t="s">
        <v>84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24" customHeight="1" x14ac:dyDescent="0.3"/>
  </sheetData>
  <mergeCells count="7">
    <mergeCell ref="A12:L12"/>
    <mergeCell ref="A1:L1"/>
    <mergeCell ref="A5:L5"/>
    <mergeCell ref="A7:L7"/>
    <mergeCell ref="A8:K8"/>
    <mergeCell ref="A10:K10"/>
    <mergeCell ref="A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5685-C37C-41CE-9301-7B45850F1E94}">
  <dimension ref="B1:K37"/>
  <sheetViews>
    <sheetView topLeftCell="A3" zoomScale="90" zoomScaleNormal="90" workbookViewId="0">
      <selection activeCell="B5" sqref="B5"/>
    </sheetView>
  </sheetViews>
  <sheetFormatPr defaultRowHeight="14.4" x14ac:dyDescent="0.3"/>
  <cols>
    <col min="1" max="1" width="2.88671875" customWidth="1"/>
    <col min="2" max="2" width="57.5546875" bestFit="1" customWidth="1"/>
    <col min="4" max="4" width="2.88671875" customWidth="1"/>
    <col min="5" max="5" width="30.88671875" customWidth="1"/>
    <col min="7" max="7" width="9.109375" customWidth="1"/>
    <col min="10" max="10" width="0.5546875" customWidth="1"/>
    <col min="11" max="11" width="0.44140625" customWidth="1"/>
    <col min="12" max="12" width="19.33203125" customWidth="1"/>
    <col min="13" max="13" width="25" customWidth="1"/>
    <col min="14" max="14" width="0.33203125" customWidth="1"/>
    <col min="15" max="15" width="21.33203125" customWidth="1"/>
    <col min="16" max="16" width="23.44140625" customWidth="1"/>
  </cols>
  <sheetData>
    <row r="1" spans="2:11" x14ac:dyDescent="0.3">
      <c r="B1" t="s">
        <v>72</v>
      </c>
    </row>
    <row r="2" spans="2:11" x14ac:dyDescent="0.3">
      <c r="B2" s="3" t="s">
        <v>0</v>
      </c>
      <c r="C2" s="3" t="s">
        <v>1</v>
      </c>
      <c r="E2" s="3" t="s">
        <v>6</v>
      </c>
      <c r="F2" s="3" t="s">
        <v>1</v>
      </c>
      <c r="G2" s="3"/>
    </row>
    <row r="3" spans="2:11" x14ac:dyDescent="0.3">
      <c r="B3" s="5" t="s">
        <v>31</v>
      </c>
      <c r="C3" s="5"/>
      <c r="D3" s="4"/>
      <c r="E3" s="5" t="s">
        <v>33</v>
      </c>
      <c r="F3" s="5"/>
      <c r="G3" s="3"/>
    </row>
    <row r="4" spans="2:11" x14ac:dyDescent="0.3">
      <c r="B4" t="s">
        <v>87</v>
      </c>
      <c r="C4" s="1">
        <v>30</v>
      </c>
      <c r="E4" t="s">
        <v>9</v>
      </c>
      <c r="F4" s="2">
        <v>0</v>
      </c>
      <c r="K4" s="10">
        <v>30</v>
      </c>
    </row>
    <row r="5" spans="2:11" x14ac:dyDescent="0.3">
      <c r="B5" t="s">
        <v>88</v>
      </c>
      <c r="C5" s="1">
        <v>50</v>
      </c>
      <c r="E5" t="s">
        <v>10</v>
      </c>
      <c r="F5" s="2">
        <v>0</v>
      </c>
      <c r="K5" s="8"/>
    </row>
    <row r="6" spans="2:11" x14ac:dyDescent="0.3">
      <c r="B6" t="s">
        <v>2</v>
      </c>
      <c r="C6" s="1">
        <v>23.875</v>
      </c>
      <c r="E6" t="s">
        <v>11</v>
      </c>
      <c r="F6" s="2">
        <f>(C4-C6)/2 + C20/2</f>
        <v>3.4670000000000001</v>
      </c>
      <c r="K6" s="8"/>
    </row>
    <row r="7" spans="2:11" x14ac:dyDescent="0.3">
      <c r="B7" t="s">
        <v>3</v>
      </c>
      <c r="C7" s="1">
        <v>20.437999999999999</v>
      </c>
      <c r="E7" t="s">
        <v>12</v>
      </c>
      <c r="F7" s="2">
        <f>F6</f>
        <v>3.4670000000000001</v>
      </c>
      <c r="K7" s="8"/>
    </row>
    <row r="8" spans="2:11" x14ac:dyDescent="0.3">
      <c r="B8" t="s">
        <v>4</v>
      </c>
      <c r="C8" s="1">
        <v>23.875</v>
      </c>
      <c r="E8" t="s">
        <v>13</v>
      </c>
      <c r="F8" s="2">
        <f>(C10+(C20/2))</f>
        <v>4.6140999999999996</v>
      </c>
      <c r="K8" s="8"/>
    </row>
    <row r="9" spans="2:11" x14ac:dyDescent="0.3">
      <c r="B9" t="s">
        <v>5</v>
      </c>
      <c r="C9" s="1">
        <v>20.437999999999999</v>
      </c>
      <c r="E9" t="s">
        <v>14</v>
      </c>
      <c r="F9" s="2">
        <f>C7-C9</f>
        <v>0</v>
      </c>
      <c r="K9" s="8"/>
    </row>
    <row r="10" spans="2:11" x14ac:dyDescent="0.3">
      <c r="B10" t="s">
        <v>29</v>
      </c>
      <c r="C10" s="1">
        <v>4.2096</v>
      </c>
      <c r="E10" t="s">
        <v>15</v>
      </c>
      <c r="F10" s="2">
        <f>C6-C8</f>
        <v>0</v>
      </c>
      <c r="K10" s="8"/>
    </row>
    <row r="11" spans="2:11" x14ac:dyDescent="0.3">
      <c r="B11" t="s">
        <v>28</v>
      </c>
      <c r="C11" s="1">
        <v>4.1124000000000001</v>
      </c>
      <c r="E11" t="s">
        <v>16</v>
      </c>
      <c r="F11" s="2">
        <f>(C4-C8)/2 + C20/2</f>
        <v>3.4670000000000001</v>
      </c>
      <c r="K11" s="8"/>
    </row>
    <row r="12" spans="2:11" x14ac:dyDescent="0.3">
      <c r="E12" t="s">
        <v>17</v>
      </c>
      <c r="F12" s="2">
        <f>F11</f>
        <v>3.4670000000000001</v>
      </c>
      <c r="K12" s="2"/>
    </row>
    <row r="13" spans="2:11" x14ac:dyDescent="0.3">
      <c r="E13" t="s">
        <v>18</v>
      </c>
      <c r="F13" s="2">
        <f>(C11+(C20/2))</f>
        <v>4.5168999999999997</v>
      </c>
    </row>
    <row r="14" spans="2:11" x14ac:dyDescent="0.3">
      <c r="E14" t="s">
        <v>40</v>
      </c>
      <c r="F14" s="2">
        <f>C5-C10-C7-C11-C9+C20</f>
        <v>1.6109999999999998</v>
      </c>
    </row>
    <row r="15" spans="2:11" x14ac:dyDescent="0.3">
      <c r="E15" t="s">
        <v>19</v>
      </c>
      <c r="F15" s="2">
        <f>IF(C9&gt;C7,(C5/2)-(C10+C7+(F14-C20)/2),(C5/2)-(C11+C9+(F14-C20)/2))</f>
        <v>4.8600000000000421E-2</v>
      </c>
    </row>
    <row r="19" spans="2:11" x14ac:dyDescent="0.3">
      <c r="B19" s="5" t="s">
        <v>30</v>
      </c>
      <c r="C19" s="4"/>
      <c r="D19" s="4"/>
      <c r="E19" s="5" t="s">
        <v>32</v>
      </c>
      <c r="F19" s="4"/>
      <c r="G19" s="4"/>
      <c r="H19" s="4"/>
      <c r="I19" s="4"/>
      <c r="K19" s="9"/>
    </row>
    <row r="20" spans="2:11" x14ac:dyDescent="0.3">
      <c r="B20" t="s">
        <v>34</v>
      </c>
      <c r="C20" s="1">
        <v>0.80900000000000005</v>
      </c>
      <c r="E20" t="s">
        <v>20</v>
      </c>
      <c r="F20" s="2">
        <f>C31+(0.5*C21)</f>
        <v>7.6886666666666672</v>
      </c>
      <c r="G20" s="2">
        <f>IF(C22&gt;1,(F20*2)+(0.5*C21),"")</f>
        <v>15.377333333333334</v>
      </c>
      <c r="H20" s="2" t="str">
        <f>IF(C22&gt;2,(F20*3)+(1*C21), "")</f>
        <v/>
      </c>
      <c r="I20" s="2" t="str">
        <f>IF(C22&gt;3,(F20*4)+(1.5*C21),"")</f>
        <v/>
      </c>
      <c r="J20">
        <f>F20*2</f>
        <v>15.377333333333334</v>
      </c>
      <c r="K20">
        <f>F20+G20</f>
        <v>23.066000000000003</v>
      </c>
    </row>
    <row r="21" spans="2:11" x14ac:dyDescent="0.3">
      <c r="B21" t="s">
        <v>35</v>
      </c>
      <c r="C21" s="1">
        <v>0</v>
      </c>
      <c r="E21" t="s">
        <v>21</v>
      </c>
      <c r="F21" s="2">
        <f>C32+(0.5*C21)</f>
        <v>6.5430000000000001</v>
      </c>
      <c r="G21" s="2">
        <f>IF(C23&gt;1,(F21*2)+(0.5*C21),"")</f>
        <v>13.086</v>
      </c>
      <c r="H21" s="2" t="str">
        <f>IF(C23&gt;2,(F21*3)+(1*C21),"")</f>
        <v/>
      </c>
      <c r="I21" s="2" t="str">
        <f>IF(C23&gt;3,(F21*4)+(1.5*C21),"")</f>
        <v/>
      </c>
      <c r="J21">
        <f>F21*2</f>
        <v>13.086</v>
      </c>
      <c r="K21">
        <f>G21+F21</f>
        <v>19.629000000000001</v>
      </c>
    </row>
    <row r="22" spans="2:11" x14ac:dyDescent="0.3">
      <c r="B22" t="s">
        <v>36</v>
      </c>
      <c r="C22" s="1">
        <v>2</v>
      </c>
      <c r="E22" t="s">
        <v>22</v>
      </c>
      <c r="F22" s="2">
        <f>(C36+(0.5*C21))</f>
        <v>7.6886666666666672</v>
      </c>
      <c r="G22" s="2">
        <f>IF(C24&gt;1,(F22*2)+(0.5*C21)-(0.5*F34),"")</f>
        <v>15.377333333333334</v>
      </c>
      <c r="H22" s="2" t="str">
        <f>IF(C24&gt;2,(F22*3)+(1*C21)-F34, "")</f>
        <v/>
      </c>
      <c r="I22" s="2" t="str">
        <f>IF(C24&gt;3,(F22*4)+(1.5*C21)-(1.5*F34),"")</f>
        <v/>
      </c>
      <c r="J22">
        <f>F22*2</f>
        <v>15.377333333333334</v>
      </c>
      <c r="K22">
        <f>G22+F22</f>
        <v>23.066000000000003</v>
      </c>
    </row>
    <row r="23" spans="2:11" x14ac:dyDescent="0.3">
      <c r="B23" t="s">
        <v>38</v>
      </c>
      <c r="C23" s="1">
        <v>2</v>
      </c>
      <c r="E23" t="s">
        <v>23</v>
      </c>
      <c r="F23" s="2">
        <f>(C37+(0.5*C21))</f>
        <v>6.5429999999999993</v>
      </c>
      <c r="G23" s="2">
        <f>IF(C25&gt;1,(F23*2)+(0.5*C21)-(0.5*F36),"")</f>
        <v>13.085999999999999</v>
      </c>
      <c r="H23" s="2" t="str">
        <f>IF(C25&gt;2,(F23*3)+(1*C21)-(1*F36),"")</f>
        <v/>
      </c>
      <c r="I23" s="2" t="str">
        <f>IF(C25&gt;3,(F23*4)+(1.5*C21)-(1.5*F36),"")</f>
        <v/>
      </c>
      <c r="J23">
        <f>F23*2</f>
        <v>13.085999999999999</v>
      </c>
      <c r="K23">
        <f>G23+F23</f>
        <v>19.628999999999998</v>
      </c>
    </row>
    <row r="24" spans="2:11" x14ac:dyDescent="0.3">
      <c r="B24" t="s">
        <v>7</v>
      </c>
      <c r="C24" s="1">
        <v>2</v>
      </c>
      <c r="F24" s="2"/>
      <c r="G24" s="2"/>
      <c r="H24" s="2"/>
      <c r="I24" s="2"/>
    </row>
    <row r="25" spans="2:11" x14ac:dyDescent="0.3">
      <c r="B25" t="s">
        <v>8</v>
      </c>
      <c r="C25" s="1">
        <v>2</v>
      </c>
      <c r="E25" t="s">
        <v>24</v>
      </c>
      <c r="F25" s="2">
        <f>F20+F6</f>
        <v>11.155666666666667</v>
      </c>
      <c r="G25" s="2">
        <f>IF(C22&gt;1,G20+F6,"")</f>
        <v>18.844333333333335</v>
      </c>
      <c r="H25" s="2" t="str">
        <f>IF(C22&gt;2,H20+F6,"")</f>
        <v/>
      </c>
      <c r="I25" s="2" t="str">
        <f>IF(C22&gt;3,I20+F6,"")</f>
        <v/>
      </c>
    </row>
    <row r="26" spans="2:11" x14ac:dyDescent="0.3">
      <c r="E26" t="s">
        <v>25</v>
      </c>
      <c r="F26" s="2">
        <f>F21+F14+C35+F13</f>
        <v>32.299899999999994</v>
      </c>
      <c r="G26" s="2">
        <f>IF(C23&gt;1,G21+F14+C35+F13,"")</f>
        <v>38.842899999999993</v>
      </c>
      <c r="H26" s="2" t="str">
        <f>IF(C23&gt;2,H21+F14+C35+F13,"")</f>
        <v/>
      </c>
      <c r="I26" s="2" t="str">
        <f>IF(C23&gt;3,I21+F14+C35+F13,"")</f>
        <v/>
      </c>
    </row>
    <row r="27" spans="2:11" x14ac:dyDescent="0.3">
      <c r="E27" t="s">
        <v>26</v>
      </c>
      <c r="F27" s="2">
        <f>F22+F11</f>
        <v>11.155666666666667</v>
      </c>
      <c r="G27" s="2">
        <f>IF(C24&gt;1,G22+F11,"")</f>
        <v>18.844333333333335</v>
      </c>
      <c r="H27" s="2" t="str">
        <f>IF(C24&gt;2,H22+F11,"")</f>
        <v/>
      </c>
      <c r="I27" s="2" t="str">
        <f>IF(C24&gt;3,I22+F11,"")</f>
        <v/>
      </c>
      <c r="K27">
        <f>F8+F13+F14+C30+C35</f>
        <v>50</v>
      </c>
    </row>
    <row r="28" spans="2:11" x14ac:dyDescent="0.3">
      <c r="E28" t="s">
        <v>27</v>
      </c>
      <c r="F28" s="2">
        <f>F23+F13</f>
        <v>11.059899999999999</v>
      </c>
      <c r="G28" s="2">
        <f>IF(C25&gt;1,G23+F13,"")</f>
        <v>17.602899999999998</v>
      </c>
      <c r="H28" s="2" t="str">
        <f>IF(C25&gt;2,H23+F13,"")</f>
        <v/>
      </c>
      <c r="I28" s="2" t="str">
        <f>IF(C25&gt;3,I23+F13,"")</f>
        <v/>
      </c>
    </row>
    <row r="29" spans="2:11" ht="18" customHeight="1" x14ac:dyDescent="0.3">
      <c r="B29" t="s">
        <v>41</v>
      </c>
      <c r="C29">
        <f>C4-F6-F7</f>
        <v>23.066000000000003</v>
      </c>
    </row>
    <row r="30" spans="2:11" ht="16.5" customHeight="1" x14ac:dyDescent="0.3">
      <c r="B30" t="s">
        <v>42</v>
      </c>
      <c r="C30">
        <f>((C5/2)+F15)-((F14/2)+F8)</f>
        <v>19.629000000000001</v>
      </c>
    </row>
    <row r="31" spans="2:11" ht="16.5" customHeight="1" x14ac:dyDescent="0.3">
      <c r="B31" t="s">
        <v>37</v>
      </c>
      <c r="C31">
        <f>(C29-(C22*C21))/(C22+1)</f>
        <v>7.6886666666666672</v>
      </c>
    </row>
    <row r="32" spans="2:11" ht="15.75" customHeight="1" x14ac:dyDescent="0.3">
      <c r="B32" t="s">
        <v>39</v>
      </c>
      <c r="C32">
        <f>(C30-(C23*C21))/(C23+1)</f>
        <v>6.5430000000000001</v>
      </c>
    </row>
    <row r="33" spans="2:6" ht="17.25" customHeight="1" x14ac:dyDescent="0.3"/>
    <row r="34" spans="2:6" ht="15.75" customHeight="1" x14ac:dyDescent="0.3">
      <c r="B34" t="s">
        <v>43</v>
      </c>
      <c r="C34">
        <f>C4-(F34)-F11-F12</f>
        <v>23.066000000000003</v>
      </c>
      <c r="E34" t="s">
        <v>47</v>
      </c>
      <c r="F34">
        <f>C8-C6</f>
        <v>0</v>
      </c>
    </row>
    <row r="35" spans="2:6" ht="14.25" customHeight="1" x14ac:dyDescent="0.3">
      <c r="B35" t="s">
        <v>44</v>
      </c>
      <c r="C35">
        <f>(((C5)/2)-F15)-((F14/2)+F13)</f>
        <v>19.628999999999998</v>
      </c>
    </row>
    <row r="36" spans="2:6" ht="14.25" customHeight="1" x14ac:dyDescent="0.3">
      <c r="B36" t="s">
        <v>45</v>
      </c>
      <c r="C36">
        <f>(C34-(C24*C21))/(C24+1)+(0.5*F34)</f>
        <v>7.6886666666666672</v>
      </c>
      <c r="E36" t="s">
        <v>48</v>
      </c>
      <c r="F36">
        <f>C9-C7</f>
        <v>0</v>
      </c>
    </row>
    <row r="37" spans="2:6" ht="16.5" customHeight="1" x14ac:dyDescent="0.3">
      <c r="B37" t="s">
        <v>46</v>
      </c>
      <c r="C37">
        <f>((C35+((F36*0.5)*(C25-1))-(C25*C21))/(C25+1))</f>
        <v>6.5429999999999993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70C6-0744-422D-BDF7-8057B306C1FD}">
  <dimension ref="B1:M37"/>
  <sheetViews>
    <sheetView topLeftCell="A3" zoomScale="90" zoomScaleNormal="90" workbookViewId="0">
      <selection activeCell="B5" sqref="B5"/>
    </sheetView>
  </sheetViews>
  <sheetFormatPr defaultRowHeight="14.4" x14ac:dyDescent="0.3"/>
  <cols>
    <col min="1" max="1" width="2.88671875" customWidth="1"/>
    <col min="2" max="2" width="57.5546875" customWidth="1"/>
    <col min="3" max="3" width="9.109375" customWidth="1"/>
    <col min="4" max="4" width="2.88671875" customWidth="1"/>
    <col min="5" max="5" width="30.6640625" customWidth="1"/>
    <col min="6" max="6" width="9.109375" customWidth="1"/>
    <col min="10" max="13" width="9.109375" hidden="1" customWidth="1"/>
  </cols>
  <sheetData>
    <row r="1" spans="2:11" x14ac:dyDescent="0.3">
      <c r="B1" t="s">
        <v>71</v>
      </c>
    </row>
    <row r="2" spans="2:11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11" x14ac:dyDescent="0.3">
      <c r="B3" s="5" t="s">
        <v>31</v>
      </c>
      <c r="C3" s="5"/>
      <c r="D3" s="4"/>
      <c r="E3" s="5" t="s">
        <v>33</v>
      </c>
      <c r="F3" s="5"/>
    </row>
    <row r="4" spans="2:11" x14ac:dyDescent="0.3">
      <c r="B4" t="s">
        <v>87</v>
      </c>
      <c r="C4" s="1">
        <v>50</v>
      </c>
      <c r="E4" t="s">
        <v>9</v>
      </c>
      <c r="F4" s="2">
        <v>0</v>
      </c>
      <c r="K4" s="1">
        <v>50</v>
      </c>
    </row>
    <row r="5" spans="2:11" x14ac:dyDescent="0.3">
      <c r="B5" t="s">
        <v>88</v>
      </c>
      <c r="C5" s="1">
        <v>30</v>
      </c>
      <c r="E5" t="s">
        <v>10</v>
      </c>
      <c r="F5" s="2">
        <v>0</v>
      </c>
      <c r="K5" s="1">
        <v>30</v>
      </c>
    </row>
    <row r="6" spans="2:11" x14ac:dyDescent="0.3">
      <c r="B6" t="s">
        <v>2</v>
      </c>
      <c r="C6" s="1">
        <v>20.437999999999999</v>
      </c>
      <c r="E6" t="s">
        <v>49</v>
      </c>
      <c r="F6" s="2">
        <f>(C5-C7) /2 + C20/2</f>
        <v>3.4670000000000001</v>
      </c>
      <c r="K6" s="1">
        <v>26</v>
      </c>
    </row>
    <row r="7" spans="2:11" x14ac:dyDescent="0.3">
      <c r="B7" t="s">
        <v>3</v>
      </c>
      <c r="C7" s="1">
        <v>23.875</v>
      </c>
      <c r="E7" t="s">
        <v>50</v>
      </c>
      <c r="F7" s="2">
        <f>F6</f>
        <v>3.4670000000000001</v>
      </c>
      <c r="K7" s="1">
        <v>28</v>
      </c>
    </row>
    <row r="8" spans="2:11" x14ac:dyDescent="0.3">
      <c r="B8" t="s">
        <v>4</v>
      </c>
      <c r="C8" s="1">
        <v>20.437999999999999</v>
      </c>
      <c r="E8" t="s">
        <v>51</v>
      </c>
      <c r="F8" s="2">
        <f>C10+(C20/2)</f>
        <v>4.6140999999999996</v>
      </c>
      <c r="K8" s="1">
        <v>26</v>
      </c>
    </row>
    <row r="9" spans="2:11" x14ac:dyDescent="0.3">
      <c r="B9" t="s">
        <v>5</v>
      </c>
      <c r="C9" s="1">
        <v>23.875</v>
      </c>
      <c r="E9" t="s">
        <v>14</v>
      </c>
      <c r="F9" s="2">
        <f>C7-C9</f>
        <v>0</v>
      </c>
      <c r="K9" s="1">
        <v>28</v>
      </c>
    </row>
    <row r="10" spans="2:11" x14ac:dyDescent="0.3">
      <c r="B10" t="s">
        <v>78</v>
      </c>
      <c r="C10" s="1">
        <v>4.2096</v>
      </c>
      <c r="E10" t="s">
        <v>15</v>
      </c>
      <c r="F10" s="2">
        <f>C6-C8</f>
        <v>0</v>
      </c>
      <c r="K10" s="1">
        <v>3.125</v>
      </c>
    </row>
    <row r="11" spans="2:11" x14ac:dyDescent="0.3">
      <c r="B11" t="s">
        <v>79</v>
      </c>
      <c r="C11" s="1">
        <v>4.1124000000000001</v>
      </c>
      <c r="E11" t="s">
        <v>52</v>
      </c>
      <c r="F11" s="2">
        <f>(C5-C9)/2 + C20/2</f>
        <v>3.4670000000000001</v>
      </c>
      <c r="K11" s="1">
        <v>2.625</v>
      </c>
    </row>
    <row r="12" spans="2:11" x14ac:dyDescent="0.3">
      <c r="E12" t="s">
        <v>53</v>
      </c>
      <c r="F12" s="2">
        <f>F11</f>
        <v>3.4670000000000001</v>
      </c>
    </row>
    <row r="13" spans="2:11" x14ac:dyDescent="0.3">
      <c r="E13" t="s">
        <v>54</v>
      </c>
      <c r="F13" s="2">
        <f>C11+(C20/2)</f>
        <v>4.5168999999999997</v>
      </c>
    </row>
    <row r="14" spans="2:11" x14ac:dyDescent="0.3">
      <c r="E14" t="s">
        <v>40</v>
      </c>
      <c r="F14" s="2">
        <f>C4-C10-C11-C6-C8+C20</f>
        <v>1.6109999999999998</v>
      </c>
    </row>
    <row r="15" spans="2:11" x14ac:dyDescent="0.3">
      <c r="E15" t="s">
        <v>19</v>
      </c>
      <c r="F15" s="2">
        <f>IF(C6&gt;=C8,(C4/2)-(C11+C8+(F14-C20)/2),(C4/2)-(C10+C6+(F14-C20)/2))</f>
        <v>4.8600000000000421E-2</v>
      </c>
    </row>
    <row r="19" spans="2:13" ht="15" thickBot="1" x14ac:dyDescent="0.35">
      <c r="B19" s="5" t="s">
        <v>30</v>
      </c>
      <c r="C19" s="4"/>
      <c r="D19" s="4"/>
      <c r="E19" s="5" t="s">
        <v>32</v>
      </c>
      <c r="F19" s="4"/>
      <c r="G19" s="4"/>
      <c r="H19" s="4"/>
      <c r="I19" s="4"/>
      <c r="K19" s="6" t="s">
        <v>55</v>
      </c>
      <c r="L19" s="7"/>
    </row>
    <row r="20" spans="2:13" ht="15" thickTop="1" x14ac:dyDescent="0.3">
      <c r="B20" t="s">
        <v>34</v>
      </c>
      <c r="C20" s="1">
        <v>0.80900000000000005</v>
      </c>
      <c r="E20" t="s">
        <v>20</v>
      </c>
      <c r="F20" s="2">
        <f>C31+(0.5*C21)</f>
        <v>6.5430000000000001</v>
      </c>
      <c r="G20" s="2">
        <f>IF(C22&gt;1,(F20*2)+(0.5*C21),"")</f>
        <v>13.086</v>
      </c>
      <c r="H20" s="2" t="str">
        <f>IF(C22&gt;2,(F20*3)+(1*C21), "")</f>
        <v/>
      </c>
      <c r="I20" s="2" t="str">
        <f>IF(C22&gt;3,(F20*4)+(1.5*C21),"")</f>
        <v/>
      </c>
      <c r="J20">
        <f>F20*2</f>
        <v>13.086</v>
      </c>
      <c r="K20">
        <f>F20+G20</f>
        <v>19.629000000000001</v>
      </c>
      <c r="L20" t="e">
        <f>H20+F20</f>
        <v>#VALUE!</v>
      </c>
      <c r="M20" t="e">
        <f>I20+F20</f>
        <v>#VALUE!</v>
      </c>
    </row>
    <row r="21" spans="2:13" x14ac:dyDescent="0.3">
      <c r="B21" t="s">
        <v>35</v>
      </c>
      <c r="C21" s="1">
        <v>0</v>
      </c>
      <c r="E21" t="s">
        <v>21</v>
      </c>
      <c r="F21" s="2">
        <f>C32+(0.5*C21)</f>
        <v>7.6886666666666672</v>
      </c>
      <c r="G21" s="2">
        <f>IF(C23&gt;1,(F21*2)+(0.5*C21),"")</f>
        <v>15.377333333333334</v>
      </c>
      <c r="H21" s="2" t="str">
        <f>IF(C23&gt;2,(F21*3)+(1*C21),"")</f>
        <v/>
      </c>
      <c r="I21" s="2" t="str">
        <f>IF(C23&gt;3,(F21*4)+(1.5*C21),"")</f>
        <v/>
      </c>
      <c r="J21">
        <f>F21*2</f>
        <v>15.377333333333334</v>
      </c>
      <c r="K21">
        <f>G21+F21</f>
        <v>23.066000000000003</v>
      </c>
      <c r="L21" t="e">
        <f>H21+F21</f>
        <v>#VALUE!</v>
      </c>
      <c r="M21" t="e">
        <f>I21+F21</f>
        <v>#VALUE!</v>
      </c>
    </row>
    <row r="22" spans="2:13" x14ac:dyDescent="0.3">
      <c r="B22" t="s">
        <v>36</v>
      </c>
      <c r="C22" s="1">
        <v>2</v>
      </c>
      <c r="E22" t="s">
        <v>22</v>
      </c>
      <c r="F22" s="2">
        <f>(C36+(0.5*C21))</f>
        <v>6.5429999999999993</v>
      </c>
      <c r="G22" s="2">
        <f>IF(C24&gt;1,(F22*2)+(0.5*C21)-(0.5*F34),"")</f>
        <v>13.085999999999999</v>
      </c>
      <c r="H22" s="2" t="str">
        <f>IF(C24&gt;2,(F22*3)+(1*C21)-(1*F34), "")</f>
        <v/>
      </c>
      <c r="I22" s="2" t="str">
        <f>IF(C24&gt;3,(F22*4)+(1.5*C21)-(1.5*F34),"")</f>
        <v/>
      </c>
      <c r="J22">
        <f>F22*2</f>
        <v>13.085999999999999</v>
      </c>
      <c r="K22">
        <f>G22+F22</f>
        <v>19.628999999999998</v>
      </c>
      <c r="L22" t="e">
        <f>H22+F22</f>
        <v>#VALUE!</v>
      </c>
      <c r="M22" t="e">
        <f>I22+F22</f>
        <v>#VALUE!</v>
      </c>
    </row>
    <row r="23" spans="2:13" x14ac:dyDescent="0.3">
      <c r="B23" t="s">
        <v>38</v>
      </c>
      <c r="C23" s="1">
        <v>2</v>
      </c>
      <c r="E23" t="s">
        <v>23</v>
      </c>
      <c r="F23" s="2">
        <f>(C37+(0.5*C21))</f>
        <v>7.6886666666666672</v>
      </c>
      <c r="G23" s="2">
        <f>IF(C25&gt;1,(F23*2)+(0.5*C21)-(0.5*F36),"")</f>
        <v>15.377333333333334</v>
      </c>
      <c r="H23" s="2" t="str">
        <f>IF(C25&gt;2,(F23*3)+(1*C21)-(1*F36),"")</f>
        <v/>
      </c>
      <c r="I23" s="2" t="str">
        <f>IF(C25&gt;3,(F23*4)+(1.5*C21)-(1.5*F36),"")</f>
        <v/>
      </c>
      <c r="J23">
        <f>F23*2</f>
        <v>15.377333333333334</v>
      </c>
      <c r="K23">
        <f>G23+F23</f>
        <v>23.066000000000003</v>
      </c>
      <c r="L23" t="e">
        <f>H23+F23</f>
        <v>#VALUE!</v>
      </c>
      <c r="M23" t="e">
        <f>I23+F23</f>
        <v>#VALUE!</v>
      </c>
    </row>
    <row r="24" spans="2:13" x14ac:dyDescent="0.3">
      <c r="B24" t="s">
        <v>7</v>
      </c>
      <c r="C24" s="1">
        <v>2</v>
      </c>
      <c r="F24" s="2"/>
      <c r="G24" s="2"/>
      <c r="H24" s="2"/>
      <c r="I24" s="2"/>
    </row>
    <row r="25" spans="2:13" x14ac:dyDescent="0.3">
      <c r="B25" t="s">
        <v>8</v>
      </c>
      <c r="C25" s="1">
        <v>2</v>
      </c>
      <c r="E25" t="s">
        <v>24</v>
      </c>
      <c r="F25" s="2">
        <f>F20+F8</f>
        <v>11.1571</v>
      </c>
      <c r="G25" s="2">
        <f>IF(C22&gt;1,G20+F8,"")</f>
        <v>17.700099999999999</v>
      </c>
      <c r="H25" s="2" t="str">
        <f>IF(C22&gt;2,H20+F8,"")</f>
        <v/>
      </c>
      <c r="I25" s="2" t="str">
        <f>IF(C22&gt;3,I20+F8,"")</f>
        <v/>
      </c>
    </row>
    <row r="26" spans="2:13" x14ac:dyDescent="0.3">
      <c r="E26" t="s">
        <v>25</v>
      </c>
      <c r="F26" s="2">
        <f>F21+F7</f>
        <v>11.155666666666667</v>
      </c>
      <c r="G26" s="2">
        <f>IF(C23&gt;1,G21+F7,"")</f>
        <v>18.844333333333335</v>
      </c>
      <c r="H26" s="2" t="str">
        <f>IF(C23&gt;2,H21+F7,"")</f>
        <v/>
      </c>
      <c r="I26" s="2" t="str">
        <f>IF(C23&gt;3,I21+F7,"")</f>
        <v/>
      </c>
    </row>
    <row r="27" spans="2:13" x14ac:dyDescent="0.3">
      <c r="E27" t="s">
        <v>26</v>
      </c>
      <c r="F27" s="2">
        <f>F22+F14+C29+F8</f>
        <v>32.397100000000002</v>
      </c>
      <c r="G27" s="2">
        <f>IF(C24&gt;1,G22+F14+C29+F8,"")</f>
        <v>38.940100000000001</v>
      </c>
      <c r="H27" s="2" t="str">
        <f>IF(C24&gt;2,H22+F14+C29+F8,"")</f>
        <v/>
      </c>
      <c r="I27" s="2" t="str">
        <f>IF(C24&gt;3,I22+F14+C29+F8,"")</f>
        <v/>
      </c>
      <c r="K27">
        <f>F8+F13+F14+C29+C34</f>
        <v>50</v>
      </c>
    </row>
    <row r="28" spans="2:13" x14ac:dyDescent="0.3">
      <c r="E28" t="s">
        <v>27</v>
      </c>
      <c r="F28" s="2">
        <f>F23+F12</f>
        <v>11.155666666666667</v>
      </c>
      <c r="G28" s="2">
        <f>IF(C25&gt;1,G23+F12,"")</f>
        <v>18.844333333333335</v>
      </c>
      <c r="H28" s="2" t="str">
        <f>IF(C25&gt;2,H23+F12,"")</f>
        <v/>
      </c>
      <c r="I28" s="2" t="str">
        <f>IF(C25&gt;3,I23+F12,"")</f>
        <v/>
      </c>
    </row>
    <row r="29" spans="2:13" ht="13.5" customHeight="1" x14ac:dyDescent="0.3">
      <c r="B29" t="s">
        <v>41</v>
      </c>
      <c r="C29">
        <f>((C4/2)+F15)-((F14/2)+F8)</f>
        <v>19.629000000000001</v>
      </c>
    </row>
    <row r="30" spans="2:13" ht="17.25" customHeight="1" x14ac:dyDescent="0.3">
      <c r="B30" t="s">
        <v>42</v>
      </c>
      <c r="C30">
        <f>C5-F6-F7</f>
        <v>23.066000000000003</v>
      </c>
    </row>
    <row r="31" spans="2:13" ht="16.5" customHeight="1" x14ac:dyDescent="0.3">
      <c r="B31" t="s">
        <v>37</v>
      </c>
      <c r="C31">
        <f>(C29-(C22*C21))/(C22+1)</f>
        <v>6.5430000000000001</v>
      </c>
    </row>
    <row r="32" spans="2:13" ht="15" customHeight="1" x14ac:dyDescent="0.3">
      <c r="B32" t="s">
        <v>39</v>
      </c>
      <c r="C32">
        <f>(C30-(C23*C21))/(C23+1)</f>
        <v>7.6886666666666672</v>
      </c>
    </row>
    <row r="34" spans="2:6" ht="20.25" customHeight="1" x14ac:dyDescent="0.3">
      <c r="B34" t="s">
        <v>43</v>
      </c>
      <c r="C34">
        <f>(((C4)/2)-F15)-((F14/2)+F13)</f>
        <v>19.628999999999998</v>
      </c>
      <c r="E34" t="s">
        <v>47</v>
      </c>
      <c r="F34">
        <f>C8-C6</f>
        <v>0</v>
      </c>
    </row>
    <row r="35" spans="2:6" ht="16.5" customHeight="1" x14ac:dyDescent="0.3">
      <c r="B35" t="s">
        <v>44</v>
      </c>
      <c r="C35">
        <f>C5-F36-F11-F12</f>
        <v>23.066000000000003</v>
      </c>
    </row>
    <row r="36" spans="2:6" ht="16.5" customHeight="1" x14ac:dyDescent="0.3">
      <c r="B36" t="s">
        <v>45</v>
      </c>
      <c r="C36">
        <f>((C34+((F34*0.5)*(C24-1))-(C24*C21))/(C24+1))</f>
        <v>6.5429999999999993</v>
      </c>
      <c r="E36" t="s">
        <v>48</v>
      </c>
      <c r="F36">
        <f>C9-C7</f>
        <v>0</v>
      </c>
    </row>
    <row r="37" spans="2:6" ht="15.75" customHeight="1" x14ac:dyDescent="0.3">
      <c r="B37" t="s">
        <v>46</v>
      </c>
      <c r="C37">
        <f>(C35-(C25*C21))/(C25+1)+(0.5*F36)</f>
        <v>7.6886666666666672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B813-5509-4F8A-AAB2-375E370AE92A}">
  <dimension ref="B1:M39"/>
  <sheetViews>
    <sheetView topLeftCell="A3" zoomScale="90" zoomScaleNormal="90" workbookViewId="0">
      <selection activeCell="F16" sqref="F16"/>
    </sheetView>
  </sheetViews>
  <sheetFormatPr defaultRowHeight="14.4" x14ac:dyDescent="0.3"/>
  <cols>
    <col min="1" max="1" width="2.88671875" customWidth="1"/>
    <col min="2" max="2" width="57.5546875" customWidth="1"/>
    <col min="3" max="3" width="9.109375" customWidth="1"/>
    <col min="4" max="4" width="2.88671875" customWidth="1"/>
    <col min="5" max="5" width="30.6640625" customWidth="1"/>
    <col min="6" max="6" width="9.109375" customWidth="1"/>
    <col min="10" max="13" width="9.109375" hidden="1" customWidth="1"/>
  </cols>
  <sheetData>
    <row r="1" spans="2:11" x14ac:dyDescent="0.3">
      <c r="B1" t="s">
        <v>71</v>
      </c>
    </row>
    <row r="2" spans="2:11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11" x14ac:dyDescent="0.3">
      <c r="B3" s="5" t="s">
        <v>31</v>
      </c>
      <c r="C3" s="5"/>
      <c r="D3" s="4"/>
      <c r="E3" s="5" t="s">
        <v>33</v>
      </c>
      <c r="F3" s="5"/>
    </row>
    <row r="4" spans="2:11" x14ac:dyDescent="0.3">
      <c r="B4" t="s">
        <v>87</v>
      </c>
      <c r="C4" s="1">
        <v>30</v>
      </c>
      <c r="E4" t="s">
        <v>9</v>
      </c>
      <c r="F4" s="2">
        <v>0</v>
      </c>
      <c r="K4" s="1">
        <v>50</v>
      </c>
    </row>
    <row r="5" spans="2:11" x14ac:dyDescent="0.3">
      <c r="B5" t="s">
        <v>88</v>
      </c>
      <c r="C5" s="1">
        <v>30</v>
      </c>
      <c r="E5" t="s">
        <v>10</v>
      </c>
      <c r="F5" s="2">
        <v>0</v>
      </c>
      <c r="K5" s="1">
        <v>30</v>
      </c>
    </row>
    <row r="6" spans="2:11" x14ac:dyDescent="0.3">
      <c r="B6" t="s">
        <v>2</v>
      </c>
      <c r="C6" s="1">
        <v>10.875</v>
      </c>
      <c r="E6" t="s">
        <v>49</v>
      </c>
      <c r="F6" s="2">
        <f>(C5-C7) /2 + C20/2</f>
        <v>3.3730000000000007</v>
      </c>
      <c r="K6" s="1">
        <v>26</v>
      </c>
    </row>
    <row r="7" spans="2:11" x14ac:dyDescent="0.3">
      <c r="B7" t="s">
        <v>3</v>
      </c>
      <c r="C7" s="1">
        <v>24.062999999999999</v>
      </c>
      <c r="E7" t="s">
        <v>50</v>
      </c>
      <c r="F7" s="2">
        <f>F6</f>
        <v>3.3730000000000007</v>
      </c>
      <c r="K7" s="1">
        <v>28</v>
      </c>
    </row>
    <row r="8" spans="2:11" x14ac:dyDescent="0.3">
      <c r="B8" t="s">
        <v>4</v>
      </c>
      <c r="C8" s="1">
        <v>10.875</v>
      </c>
      <c r="E8" t="s">
        <v>51</v>
      </c>
      <c r="F8" s="2">
        <f>C10+(C20/2)</f>
        <v>4.117</v>
      </c>
      <c r="K8" s="1">
        <v>26</v>
      </c>
    </row>
    <row r="9" spans="2:11" x14ac:dyDescent="0.3">
      <c r="B9" t="s">
        <v>5</v>
      </c>
      <c r="C9" s="1">
        <v>24.062999999999999</v>
      </c>
      <c r="E9" t="s">
        <v>14</v>
      </c>
      <c r="F9" s="2">
        <f>C7-C9</f>
        <v>0</v>
      </c>
      <c r="K9" s="1">
        <v>28</v>
      </c>
    </row>
    <row r="10" spans="2:11" x14ac:dyDescent="0.3">
      <c r="B10" t="s">
        <v>78</v>
      </c>
      <c r="C10" s="1">
        <v>3.7124999999999999</v>
      </c>
      <c r="E10" t="s">
        <v>15</v>
      </c>
      <c r="F10" s="2">
        <f>C6-C8</f>
        <v>0</v>
      </c>
      <c r="K10" s="1">
        <v>3.125</v>
      </c>
    </row>
    <row r="11" spans="2:11" x14ac:dyDescent="0.3">
      <c r="B11" t="s">
        <v>79</v>
      </c>
      <c r="C11" s="1">
        <v>3.7124999999999999</v>
      </c>
      <c r="E11" t="s">
        <v>52</v>
      </c>
      <c r="F11" s="2">
        <f>(C5-C9)/2 + C20/2</f>
        <v>3.3730000000000007</v>
      </c>
      <c r="K11" s="1">
        <v>2.625</v>
      </c>
    </row>
    <row r="12" spans="2:11" x14ac:dyDescent="0.3">
      <c r="B12" t="s">
        <v>29</v>
      </c>
      <c r="C12" s="1">
        <v>2.9569999999999999</v>
      </c>
      <c r="E12" t="s">
        <v>53</v>
      </c>
      <c r="F12" s="2">
        <f>F11</f>
        <v>3.3730000000000007</v>
      </c>
    </row>
    <row r="13" spans="2:11" x14ac:dyDescent="0.3">
      <c r="B13" t="s">
        <v>28</v>
      </c>
      <c r="C13" s="1">
        <v>2.9689999999999999</v>
      </c>
      <c r="E13" t="s">
        <v>54</v>
      </c>
      <c r="F13" s="2">
        <f>C11+(C20/2)</f>
        <v>4.117</v>
      </c>
    </row>
    <row r="14" spans="2:11" x14ac:dyDescent="0.3">
      <c r="E14" t="s">
        <v>40</v>
      </c>
      <c r="F14" s="2">
        <f>C4-C10-C11-C6-C8+C20</f>
        <v>1.634000000000003</v>
      </c>
    </row>
    <row r="15" spans="2:11" x14ac:dyDescent="0.3">
      <c r="E15" t="s">
        <v>19</v>
      </c>
      <c r="F15" s="2">
        <f>IF(C6&gt;=C8,C38,C39)</f>
        <v>0</v>
      </c>
    </row>
    <row r="19" spans="2:13" ht="15" thickBot="1" x14ac:dyDescent="0.35">
      <c r="B19" s="5" t="s">
        <v>30</v>
      </c>
      <c r="C19" s="4"/>
      <c r="D19" s="4"/>
      <c r="E19" s="5" t="s">
        <v>32</v>
      </c>
      <c r="F19" s="4"/>
      <c r="G19" s="4"/>
      <c r="H19" s="4"/>
      <c r="I19" s="4"/>
      <c r="K19" s="6" t="s">
        <v>55</v>
      </c>
      <c r="L19" s="7"/>
    </row>
    <row r="20" spans="2:13" ht="15" thickTop="1" x14ac:dyDescent="0.3">
      <c r="B20" t="s">
        <v>34</v>
      </c>
      <c r="C20" s="1">
        <v>0.80900000000000005</v>
      </c>
      <c r="E20" t="s">
        <v>20</v>
      </c>
      <c r="F20" s="2">
        <f>C31+(0.5*C21)</f>
        <v>3.3553333333333328</v>
      </c>
      <c r="G20" s="2">
        <f>IF(C22&gt;1,(F20*2)+(0.5*C21),"")</f>
        <v>6.7106666666666657</v>
      </c>
      <c r="H20" s="2" t="str">
        <f>IF(C22&gt;2,(F20*3)+(1*C21), "")</f>
        <v/>
      </c>
      <c r="I20" s="2" t="str">
        <f>IF(C22&gt;3,(F20*4)+(1.5*C21),"")</f>
        <v/>
      </c>
      <c r="J20">
        <f>F20*2</f>
        <v>6.7106666666666657</v>
      </c>
      <c r="K20">
        <f>F20+G20</f>
        <v>10.065999999999999</v>
      </c>
      <c r="L20" t="e">
        <f>H20+F20</f>
        <v>#VALUE!</v>
      </c>
      <c r="M20" t="e">
        <f>I20+F20</f>
        <v>#VALUE!</v>
      </c>
    </row>
    <row r="21" spans="2:13" x14ac:dyDescent="0.3">
      <c r="B21" t="s">
        <v>35</v>
      </c>
      <c r="C21" s="1">
        <v>0</v>
      </c>
      <c r="E21" t="s">
        <v>21</v>
      </c>
      <c r="F21" s="2">
        <f>C32+(0.5*C21)</f>
        <v>7.7513333333333323</v>
      </c>
      <c r="G21" s="2">
        <f>IF(C23&gt;1,(F21*2)+(0.5*C21),"")</f>
        <v>15.502666666666665</v>
      </c>
      <c r="H21" s="2" t="str">
        <f>IF(C23&gt;2,(F21*3)+(1*C21),"")</f>
        <v/>
      </c>
      <c r="I21" s="2" t="str">
        <f>IF(C23&gt;3,(F21*4)+(1.5*C21),"")</f>
        <v/>
      </c>
      <c r="J21">
        <f>F21*2</f>
        <v>15.502666666666665</v>
      </c>
      <c r="K21">
        <f>G21+F21</f>
        <v>23.253999999999998</v>
      </c>
      <c r="L21" t="e">
        <f>H21+F21</f>
        <v>#VALUE!</v>
      </c>
      <c r="M21" t="e">
        <f>I21+F21</f>
        <v>#VALUE!</v>
      </c>
    </row>
    <row r="22" spans="2:13" x14ac:dyDescent="0.3">
      <c r="B22" t="s">
        <v>36</v>
      </c>
      <c r="C22" s="1">
        <v>2</v>
      </c>
      <c r="E22" t="s">
        <v>22</v>
      </c>
      <c r="F22" s="2">
        <f>(C36+(0.5*C21))</f>
        <v>3.3553333333333328</v>
      </c>
      <c r="G22" s="2">
        <f>IF(C24&gt;1,(F22*2)+(0.5*C21)-(0.5*F34),"")</f>
        <v>6.7106666666666657</v>
      </c>
      <c r="H22" s="2" t="str">
        <f>IF(C24&gt;2,(F22*3)+(1*C21)-(1*F34), "")</f>
        <v/>
      </c>
      <c r="I22" s="2" t="str">
        <f>IF(C24&gt;3,(F22*4)+(1.5*C21)-(1.5*F34),"")</f>
        <v/>
      </c>
      <c r="J22">
        <f>F22*2</f>
        <v>6.7106666666666657</v>
      </c>
      <c r="K22">
        <f>G22+F22</f>
        <v>10.065999999999999</v>
      </c>
      <c r="L22" t="e">
        <f>H22+F22</f>
        <v>#VALUE!</v>
      </c>
      <c r="M22" t="e">
        <f>I22+F22</f>
        <v>#VALUE!</v>
      </c>
    </row>
    <row r="23" spans="2:13" x14ac:dyDescent="0.3">
      <c r="B23" t="s">
        <v>38</v>
      </c>
      <c r="C23" s="1">
        <v>2</v>
      </c>
      <c r="E23" t="s">
        <v>23</v>
      </c>
      <c r="F23" s="2">
        <f>(C37+(0.5*C21))</f>
        <v>7.7513333333333323</v>
      </c>
      <c r="G23" s="2">
        <f>IF(C25&gt;1,(F23*2)+(0.5*C21)-(0.5*F36),"")</f>
        <v>15.502666666666665</v>
      </c>
      <c r="H23" s="2" t="str">
        <f>IF(C25&gt;2,(F23*3)+(1*C21)-(1*F36),"")</f>
        <v/>
      </c>
      <c r="I23" s="2" t="str">
        <f>IF(C25&gt;3,(F23*4)+(1.5*C21)-(1.5*F36),"")</f>
        <v/>
      </c>
      <c r="J23">
        <f>F23*2</f>
        <v>15.502666666666665</v>
      </c>
      <c r="K23">
        <f>G23+F23</f>
        <v>23.253999999999998</v>
      </c>
      <c r="L23" t="e">
        <f>H23+F23</f>
        <v>#VALUE!</v>
      </c>
      <c r="M23" t="e">
        <f>I23+F23</f>
        <v>#VALUE!</v>
      </c>
    </row>
    <row r="24" spans="2:13" x14ac:dyDescent="0.3">
      <c r="B24" t="s">
        <v>7</v>
      </c>
      <c r="C24" s="1">
        <v>2</v>
      </c>
      <c r="F24" s="2"/>
      <c r="G24" s="2"/>
      <c r="H24" s="2"/>
      <c r="I24" s="2"/>
    </row>
    <row r="25" spans="2:13" x14ac:dyDescent="0.3">
      <c r="B25" t="s">
        <v>8</v>
      </c>
      <c r="C25" s="1">
        <v>2</v>
      </c>
      <c r="E25" t="s">
        <v>24</v>
      </c>
      <c r="F25" s="2">
        <f>F20+F8</f>
        <v>7.4723333333333333</v>
      </c>
      <c r="G25" s="2">
        <f>IF(C22&gt;1,G20+F8,"")</f>
        <v>10.827666666666666</v>
      </c>
      <c r="H25" s="2" t="str">
        <f>IF(C22&gt;2,H20+F8,"")</f>
        <v/>
      </c>
      <c r="I25" s="2" t="str">
        <f>IF(C22&gt;3,I20+F8,"")</f>
        <v/>
      </c>
    </row>
    <row r="26" spans="2:13" x14ac:dyDescent="0.3">
      <c r="E26" t="s">
        <v>25</v>
      </c>
      <c r="F26" s="2">
        <f>F21+F7</f>
        <v>11.124333333333333</v>
      </c>
      <c r="G26" s="2">
        <f>IF(C23&gt;1,G21+F7,"")</f>
        <v>18.875666666666664</v>
      </c>
      <c r="H26" s="2" t="str">
        <f>IF(C23&gt;2,H21+F7,"")</f>
        <v/>
      </c>
      <c r="I26" s="2" t="str">
        <f>IF(C23&gt;3,I21+F7,"")</f>
        <v/>
      </c>
    </row>
    <row r="27" spans="2:13" x14ac:dyDescent="0.3">
      <c r="E27" t="s">
        <v>26</v>
      </c>
      <c r="F27" s="2">
        <f>F22+F14+C29+F8</f>
        <v>19.172333333333334</v>
      </c>
      <c r="G27" s="2">
        <f>IF(C24&gt;1,G22+F14+C29+F8,"")</f>
        <v>22.527666666666669</v>
      </c>
      <c r="H27" s="2" t="str">
        <f>IF(C24&gt;2,H22+F14+C29+F8,"")</f>
        <v/>
      </c>
      <c r="I27" s="2" t="str">
        <f>IF(C24&gt;3,I22+F14+C29+F8,"")</f>
        <v/>
      </c>
      <c r="K27">
        <f>F8+F13+F14+C29+C34</f>
        <v>30</v>
      </c>
    </row>
    <row r="28" spans="2:13" x14ac:dyDescent="0.3">
      <c r="E28" t="s">
        <v>27</v>
      </c>
      <c r="F28" s="2">
        <f>F23+F12</f>
        <v>11.124333333333333</v>
      </c>
      <c r="G28" s="2">
        <f>IF(C25&gt;1,G23+F12,"")</f>
        <v>18.875666666666664</v>
      </c>
      <c r="H28" s="2" t="str">
        <f>IF(C25&gt;2,H23+F12,"")</f>
        <v/>
      </c>
      <c r="I28" s="2" t="str">
        <f>IF(C25&gt;3,I23+F12,"")</f>
        <v/>
      </c>
    </row>
    <row r="29" spans="2:13" ht="13.5" customHeight="1" x14ac:dyDescent="0.3">
      <c r="B29" t="s">
        <v>41</v>
      </c>
      <c r="C29">
        <f>((C4/2)+F15)-((F14/2)+F8)</f>
        <v>10.065999999999999</v>
      </c>
    </row>
    <row r="30" spans="2:13" ht="17.25" customHeight="1" x14ac:dyDescent="0.3">
      <c r="B30" t="s">
        <v>42</v>
      </c>
      <c r="C30">
        <f>C5-F6-F7</f>
        <v>23.253999999999998</v>
      </c>
    </row>
    <row r="31" spans="2:13" ht="16.5" customHeight="1" x14ac:dyDescent="0.3">
      <c r="B31" t="s">
        <v>37</v>
      </c>
      <c r="C31">
        <f>(C29-(C22*C21))/(C22+1)</f>
        <v>3.3553333333333328</v>
      </c>
    </row>
    <row r="32" spans="2:13" ht="15" customHeight="1" x14ac:dyDescent="0.3">
      <c r="B32" t="s">
        <v>39</v>
      </c>
      <c r="C32">
        <f>(C30-(C23*C21))/(C23+1)</f>
        <v>7.7513333333333323</v>
      </c>
    </row>
    <row r="34" spans="2:6" ht="20.25" customHeight="1" x14ac:dyDescent="0.3">
      <c r="B34" t="s">
        <v>43</v>
      </c>
      <c r="C34">
        <f>(((C4)/2)-F15)-((F14/2)+F13)</f>
        <v>10.065999999999999</v>
      </c>
      <c r="E34" t="s">
        <v>47</v>
      </c>
      <c r="F34">
        <f>C8-C6</f>
        <v>0</v>
      </c>
    </row>
    <row r="35" spans="2:6" ht="16.5" customHeight="1" x14ac:dyDescent="0.3">
      <c r="B35" t="s">
        <v>44</v>
      </c>
      <c r="C35">
        <f>C5-F36-F11-F12</f>
        <v>23.253999999999998</v>
      </c>
    </row>
    <row r="36" spans="2:6" ht="16.5" customHeight="1" x14ac:dyDescent="0.3">
      <c r="B36" t="s">
        <v>45</v>
      </c>
      <c r="C36">
        <f>((C34+((F34*0.5)*(C24-1))-(C24*C21))/(C24+1))</f>
        <v>3.3553333333333328</v>
      </c>
      <c r="E36" t="s">
        <v>48</v>
      </c>
      <c r="F36">
        <f>C9-C7</f>
        <v>0</v>
      </c>
    </row>
    <row r="37" spans="2:6" ht="15.75" customHeight="1" x14ac:dyDescent="0.3">
      <c r="B37" t="s">
        <v>46</v>
      </c>
      <c r="C37">
        <f>(C35-(C25*C21))/(C25+1)+(0.5*F36)</f>
        <v>7.7513333333333323</v>
      </c>
    </row>
    <row r="38" spans="2:6" x14ac:dyDescent="0.3">
      <c r="B38" t="s">
        <v>89</v>
      </c>
      <c r="C38">
        <f>C4/2-(C11+C8+(F14-C20)/2)</f>
        <v>0</v>
      </c>
    </row>
    <row r="39" spans="2:6" x14ac:dyDescent="0.3">
      <c r="B39" t="s">
        <v>90</v>
      </c>
      <c r="C39">
        <f>C4/2-(C10+C6+(F14-C20)/2)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C388-929B-4493-A76D-96C1467E130C}">
  <dimension ref="B1:I32"/>
  <sheetViews>
    <sheetView workbookViewId="0">
      <selection activeCell="C4" sqref="C4:C7"/>
    </sheetView>
  </sheetViews>
  <sheetFormatPr defaultRowHeight="14.4" x14ac:dyDescent="0.3"/>
  <cols>
    <col min="1" max="1" width="3.33203125" customWidth="1"/>
    <col min="2" max="2" width="57.33203125" customWidth="1"/>
    <col min="5" max="5" width="40.109375" customWidth="1"/>
  </cols>
  <sheetData>
    <row r="1" spans="2:6" x14ac:dyDescent="0.3">
      <c r="B1" t="s">
        <v>70</v>
      </c>
    </row>
    <row r="2" spans="2:6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6" x14ac:dyDescent="0.3">
      <c r="B3" s="5" t="s">
        <v>31</v>
      </c>
      <c r="C3" s="5"/>
      <c r="D3" s="4"/>
      <c r="E3" s="5" t="s">
        <v>33</v>
      </c>
      <c r="F3" s="5"/>
    </row>
    <row r="4" spans="2:6" x14ac:dyDescent="0.3">
      <c r="B4" t="s">
        <v>87</v>
      </c>
      <c r="C4" s="1"/>
      <c r="E4" t="s">
        <v>69</v>
      </c>
      <c r="F4" s="2">
        <v>0</v>
      </c>
    </row>
    <row r="5" spans="2:6" x14ac:dyDescent="0.3">
      <c r="B5" t="s">
        <v>88</v>
      </c>
      <c r="C5" s="1"/>
      <c r="E5" t="s">
        <v>68</v>
      </c>
      <c r="F5" s="2">
        <v>0</v>
      </c>
    </row>
    <row r="6" spans="2:6" x14ac:dyDescent="0.3">
      <c r="B6" t="s">
        <v>67</v>
      </c>
      <c r="C6" s="1"/>
      <c r="E6" t="s">
        <v>66</v>
      </c>
      <c r="F6" s="2">
        <f>((C5-C7)/2)+C20/2</f>
        <v>0.40450000000000003</v>
      </c>
    </row>
    <row r="7" spans="2:6" x14ac:dyDescent="0.3">
      <c r="B7" t="s">
        <v>65</v>
      </c>
      <c r="C7" s="1"/>
      <c r="E7" t="s">
        <v>64</v>
      </c>
      <c r="F7" s="2">
        <f>F6</f>
        <v>0.40450000000000003</v>
      </c>
    </row>
    <row r="8" spans="2:6" x14ac:dyDescent="0.3">
      <c r="C8" s="8"/>
      <c r="E8" t="s">
        <v>63</v>
      </c>
      <c r="F8" s="2">
        <f>F9</f>
        <v>0.40450000000000003</v>
      </c>
    </row>
    <row r="9" spans="2:6" x14ac:dyDescent="0.3">
      <c r="C9" s="8"/>
      <c r="E9" t="s">
        <v>62</v>
      </c>
      <c r="F9" s="2">
        <f>((C4-C6)/2) + C20/2</f>
        <v>0.40450000000000003</v>
      </c>
    </row>
    <row r="19" spans="2:9" x14ac:dyDescent="0.3">
      <c r="B19" s="5" t="s">
        <v>30</v>
      </c>
      <c r="C19" s="4"/>
      <c r="D19" s="4"/>
      <c r="E19" s="5" t="s">
        <v>32</v>
      </c>
      <c r="F19" s="4"/>
      <c r="G19" s="4"/>
      <c r="H19" s="4"/>
      <c r="I19" s="4"/>
    </row>
    <row r="20" spans="2:9" x14ac:dyDescent="0.3">
      <c r="B20" t="s">
        <v>34</v>
      </c>
      <c r="C20" s="1">
        <v>0.80900000000000005</v>
      </c>
      <c r="E20" t="s">
        <v>20</v>
      </c>
      <c r="F20" s="2">
        <f>C31+(0.5*C21)</f>
        <v>-0.26966666666666667</v>
      </c>
      <c r="G20" s="2">
        <f>IF(C22&gt;1,(F20*2)+(0.5*C21),"")</f>
        <v>-0.53933333333333333</v>
      </c>
      <c r="H20" s="2" t="str">
        <f>IF(C22&gt;2,(F20*3)+(1*C21), "")</f>
        <v/>
      </c>
      <c r="I20" s="2" t="str">
        <f>IF(C22&gt;3,(F20*4)+(1.5*C21),"")</f>
        <v/>
      </c>
    </row>
    <row r="21" spans="2:9" x14ac:dyDescent="0.3">
      <c r="B21" t="s">
        <v>35</v>
      </c>
      <c r="C21" s="1">
        <v>0</v>
      </c>
      <c r="E21" t="s">
        <v>21</v>
      </c>
      <c r="F21" s="2">
        <f>C32+(0.5*C21)</f>
        <v>-0.13483333333333333</v>
      </c>
      <c r="G21" s="2">
        <f>IF(C23&gt;1,(F21*2)+(0.5*C21),"")</f>
        <v>-0.26966666666666667</v>
      </c>
      <c r="H21" s="2">
        <f>IF(C23&gt;2,(F21*3)+(1*C21),"")</f>
        <v>-0.40449999999999997</v>
      </c>
      <c r="I21" s="2">
        <f>IF(C23&gt;3,(F21*4)+(1.5*C21),"")</f>
        <v>-0.53933333333333333</v>
      </c>
    </row>
    <row r="22" spans="2:9" x14ac:dyDescent="0.3">
      <c r="B22" t="s">
        <v>61</v>
      </c>
      <c r="C22" s="1">
        <v>2</v>
      </c>
    </row>
    <row r="23" spans="2:9" x14ac:dyDescent="0.3">
      <c r="B23" t="s">
        <v>60</v>
      </c>
      <c r="C23" s="1">
        <v>5</v>
      </c>
    </row>
    <row r="25" spans="2:9" x14ac:dyDescent="0.3">
      <c r="E25" t="s">
        <v>24</v>
      </c>
      <c r="F25" s="2">
        <f>F20+F9</f>
        <v>0.13483333333333336</v>
      </c>
      <c r="G25" s="2">
        <f>IF(C22&gt;1,G20+F9,"")</f>
        <v>-0.13483333333333331</v>
      </c>
      <c r="H25" s="2" t="str">
        <f>IF(C22&gt;2,H20+F9,"")</f>
        <v/>
      </c>
      <c r="I25" s="2" t="str">
        <f>IF(C22&gt;3,I20+F9,"")</f>
        <v/>
      </c>
    </row>
    <row r="26" spans="2:9" x14ac:dyDescent="0.3">
      <c r="E26" t="s">
        <v>25</v>
      </c>
      <c r="F26" s="2">
        <f>F21+F7</f>
        <v>0.26966666666666672</v>
      </c>
      <c r="G26" s="2">
        <f>IF(C23&gt;1,G21+F7,"")</f>
        <v>0.13483333333333336</v>
      </c>
      <c r="H26" s="2">
        <f>IF(C23&gt;2,H21+F7,"")</f>
        <v>5.5511151231257827E-17</v>
      </c>
      <c r="I26" s="2">
        <f>IF(C23&gt;3,I21+F7,"")</f>
        <v>-0.13483333333333331</v>
      </c>
    </row>
    <row r="29" spans="2:9" x14ac:dyDescent="0.3">
      <c r="B29" t="s">
        <v>59</v>
      </c>
      <c r="C29">
        <f>C4-(F9+F8)</f>
        <v>-0.80900000000000005</v>
      </c>
    </row>
    <row r="30" spans="2:9" x14ac:dyDescent="0.3">
      <c r="B30" t="s">
        <v>58</v>
      </c>
      <c r="C30">
        <f>C5-(F6+F7)</f>
        <v>-0.80900000000000005</v>
      </c>
    </row>
    <row r="31" spans="2:9" x14ac:dyDescent="0.3">
      <c r="B31" t="s">
        <v>57</v>
      </c>
      <c r="C31">
        <f>(C29-(C22*C21))/(C22+1)</f>
        <v>-0.26966666666666667</v>
      </c>
    </row>
    <row r="32" spans="2:9" x14ac:dyDescent="0.3">
      <c r="B32" t="s">
        <v>56</v>
      </c>
      <c r="C32">
        <f>(C30-(C23*C21))/(C23+1)</f>
        <v>-0.13483333333333333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BF09-DBF1-46A5-9674-EB66EADB8694}">
  <dimension ref="B1:M32"/>
  <sheetViews>
    <sheetView workbookViewId="0">
      <selection activeCell="C4" sqref="C4:C9"/>
    </sheetView>
  </sheetViews>
  <sheetFormatPr defaultRowHeight="14.4" x14ac:dyDescent="0.3"/>
  <cols>
    <col min="1" max="1" width="2.88671875" customWidth="1"/>
    <col min="2" max="2" width="57.5546875" customWidth="1"/>
    <col min="4" max="4" width="2.88671875" customWidth="1"/>
    <col min="5" max="5" width="30.6640625" customWidth="1"/>
    <col min="6" max="6" width="9.33203125" customWidth="1"/>
    <col min="10" max="13" width="9.109375" hidden="1" customWidth="1"/>
  </cols>
  <sheetData>
    <row r="1" spans="2:11" x14ac:dyDescent="0.3">
      <c r="B1" t="s">
        <v>70</v>
      </c>
    </row>
    <row r="2" spans="2:11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11" x14ac:dyDescent="0.3">
      <c r="B3" s="5" t="s">
        <v>31</v>
      </c>
      <c r="C3" s="5"/>
      <c r="D3" s="4"/>
      <c r="E3" s="5" t="s">
        <v>33</v>
      </c>
      <c r="F3" s="5"/>
    </row>
    <row r="4" spans="2:11" x14ac:dyDescent="0.3">
      <c r="B4" t="s">
        <v>87</v>
      </c>
      <c r="C4" s="1"/>
      <c r="E4" t="s">
        <v>69</v>
      </c>
      <c r="F4" s="2">
        <v>0</v>
      </c>
      <c r="K4" s="1">
        <v>36</v>
      </c>
    </row>
    <row r="5" spans="2:11" x14ac:dyDescent="0.3">
      <c r="B5" t="s">
        <v>88</v>
      </c>
      <c r="C5" s="1"/>
      <c r="E5" t="s">
        <v>68</v>
      </c>
      <c r="F5" s="2">
        <v>0</v>
      </c>
      <c r="K5" s="1">
        <v>36</v>
      </c>
    </row>
    <row r="6" spans="2:11" x14ac:dyDescent="0.3">
      <c r="B6" t="s">
        <v>67</v>
      </c>
      <c r="C6" s="1"/>
      <c r="E6" t="s">
        <v>66</v>
      </c>
      <c r="F6" s="2">
        <f>(C9+(C20/2))</f>
        <v>0.40450000000000003</v>
      </c>
      <c r="K6" s="1">
        <v>35.258000000000003</v>
      </c>
    </row>
    <row r="7" spans="2:11" x14ac:dyDescent="0.3">
      <c r="B7" t="s">
        <v>65</v>
      </c>
      <c r="C7" s="1"/>
      <c r="E7" t="s">
        <v>64</v>
      </c>
      <c r="F7" s="2">
        <f>(C8+(C20/2))</f>
        <v>0.40450000000000003</v>
      </c>
      <c r="K7" s="1">
        <v>35.258000000000003</v>
      </c>
    </row>
    <row r="8" spans="2:11" x14ac:dyDescent="0.3">
      <c r="B8" t="s">
        <v>29</v>
      </c>
      <c r="C8" s="1"/>
      <c r="E8" t="s">
        <v>63</v>
      </c>
      <c r="F8" s="2">
        <f>F9</f>
        <v>0.40450000000000003</v>
      </c>
    </row>
    <row r="9" spans="2:11" x14ac:dyDescent="0.3">
      <c r="B9" t="s">
        <v>28</v>
      </c>
      <c r="C9" s="1"/>
      <c r="E9" t="s">
        <v>62</v>
      </c>
      <c r="F9" s="2">
        <f>((C4-C6) + C20)/2</f>
        <v>0.40450000000000003</v>
      </c>
    </row>
    <row r="19" spans="2:13" ht="15" thickBot="1" x14ac:dyDescent="0.35">
      <c r="B19" s="5" t="s">
        <v>30</v>
      </c>
      <c r="C19" s="4"/>
      <c r="D19" s="4"/>
      <c r="E19" s="5" t="s">
        <v>32</v>
      </c>
      <c r="F19" s="4"/>
      <c r="G19" s="4"/>
      <c r="H19" s="4"/>
      <c r="I19" s="4"/>
      <c r="K19" s="6" t="s">
        <v>55</v>
      </c>
      <c r="L19" s="7"/>
    </row>
    <row r="20" spans="2:13" ht="15" thickTop="1" x14ac:dyDescent="0.3">
      <c r="B20" t="s">
        <v>34</v>
      </c>
      <c r="C20" s="1">
        <v>0.80900000000000005</v>
      </c>
      <c r="E20" t="s">
        <v>20</v>
      </c>
      <c r="F20" s="2">
        <f>C31+(0.5*C21)</f>
        <v>-0.26966666666666667</v>
      </c>
      <c r="G20" s="2">
        <f>IF(C22&gt;1,(F20*2)+(0.5*C21),"")</f>
        <v>-0.53933333333333333</v>
      </c>
      <c r="H20" s="2" t="str">
        <f>IF(C22&gt;2,(F20*3)+(1*C21), "")</f>
        <v/>
      </c>
      <c r="I20" s="2" t="str">
        <f>IF(C22&gt;3,(F20*4)+(1.5*C21),"")</f>
        <v/>
      </c>
      <c r="J20">
        <f>F20*2</f>
        <v>-0.53933333333333333</v>
      </c>
      <c r="K20">
        <f>F20+G20</f>
        <v>-0.80899999999999994</v>
      </c>
      <c r="L20" t="e">
        <f>H20+F20</f>
        <v>#VALUE!</v>
      </c>
      <c r="M20" t="e">
        <f>I20+F20</f>
        <v>#VALUE!</v>
      </c>
    </row>
    <row r="21" spans="2:13" x14ac:dyDescent="0.3">
      <c r="B21" t="s">
        <v>35</v>
      </c>
      <c r="C21" s="1">
        <v>0</v>
      </c>
      <c r="E21" t="s">
        <v>21</v>
      </c>
      <c r="F21" s="2">
        <f>C32+(0.5*C21)</f>
        <v>-0.13483333333333333</v>
      </c>
      <c r="G21" s="2">
        <f>IF(C23&gt;1,(F21*2)+(0.5*C21),"")</f>
        <v>-0.26966666666666667</v>
      </c>
      <c r="H21" s="2">
        <f>IF(C23&gt;2,(F21*3)+(1*C21),"")</f>
        <v>-0.40449999999999997</v>
      </c>
      <c r="I21" s="2">
        <f>IF(C23&gt;3,(F21*4)+(1.5*C21),"")</f>
        <v>-0.53933333333333333</v>
      </c>
      <c r="J21">
        <f>F21*2</f>
        <v>-0.26966666666666667</v>
      </c>
      <c r="K21">
        <f>G21+F21</f>
        <v>-0.40449999999999997</v>
      </c>
      <c r="L21">
        <f>H21+F21</f>
        <v>-0.53933333333333333</v>
      </c>
      <c r="M21">
        <f>I21+F21</f>
        <v>-0.67416666666666669</v>
      </c>
    </row>
    <row r="22" spans="2:13" x14ac:dyDescent="0.3">
      <c r="B22" t="s">
        <v>61</v>
      </c>
      <c r="C22" s="1">
        <v>2</v>
      </c>
    </row>
    <row r="23" spans="2:13" x14ac:dyDescent="0.3">
      <c r="B23" t="s">
        <v>60</v>
      </c>
      <c r="C23" s="1">
        <v>5</v>
      </c>
    </row>
    <row r="25" spans="2:13" x14ac:dyDescent="0.3">
      <c r="E25" t="s">
        <v>24</v>
      </c>
      <c r="F25" s="2">
        <f>F20+F9</f>
        <v>0.13483333333333336</v>
      </c>
      <c r="G25" s="2">
        <f>IF(C22&gt;1,G20+F9,"")</f>
        <v>-0.13483333333333331</v>
      </c>
      <c r="H25" s="2" t="str">
        <f>IF(C22&gt;2,H20+F9,"")</f>
        <v/>
      </c>
      <c r="I25" s="2" t="str">
        <f>IF(C22&gt;3,I20+F9,"")</f>
        <v/>
      </c>
    </row>
    <row r="26" spans="2:13" ht="18" customHeight="1" x14ac:dyDescent="0.3">
      <c r="E26" t="s">
        <v>25</v>
      </c>
      <c r="F26" s="2">
        <f>F21+F7</f>
        <v>0.26966666666666672</v>
      </c>
      <c r="G26" s="2">
        <f>IF(C23&gt;1,G21+F7,"")</f>
        <v>0.13483333333333336</v>
      </c>
      <c r="H26" s="2">
        <f>IF(C23&gt;2,H21+F7,"")</f>
        <v>5.5511151231257827E-17</v>
      </c>
      <c r="I26" s="2">
        <f>IF(C23&gt;3,I21+F7,"")</f>
        <v>-0.13483333333333331</v>
      </c>
    </row>
    <row r="27" spans="2:13" ht="12.75" customHeight="1" x14ac:dyDescent="0.3">
      <c r="K27">
        <f>C30+F7+F6</f>
        <v>0</v>
      </c>
    </row>
    <row r="28" spans="2:13" ht="13.5" customHeight="1" x14ac:dyDescent="0.3">
      <c r="K28">
        <f>C29+F8+F9</f>
        <v>0</v>
      </c>
    </row>
    <row r="29" spans="2:13" ht="15" customHeight="1" x14ac:dyDescent="0.3">
      <c r="B29" t="s">
        <v>59</v>
      </c>
      <c r="C29">
        <f>C4-(F9+F8)</f>
        <v>-0.80900000000000005</v>
      </c>
    </row>
    <row r="30" spans="2:13" ht="15.75" customHeight="1" x14ac:dyDescent="0.3">
      <c r="B30" t="s">
        <v>58</v>
      </c>
      <c r="C30">
        <f>C5-(F6+F7)</f>
        <v>-0.80900000000000005</v>
      </c>
    </row>
    <row r="31" spans="2:13" ht="14.25" customHeight="1" x14ac:dyDescent="0.3">
      <c r="B31" t="s">
        <v>57</v>
      </c>
      <c r="C31">
        <f>(C29-(C22*C21))/(C22+1)</f>
        <v>-0.26966666666666667</v>
      </c>
    </row>
    <row r="32" spans="2:13" ht="14.25" customHeight="1" x14ac:dyDescent="0.3">
      <c r="B32" t="s">
        <v>56</v>
      </c>
      <c r="C32">
        <f>(C30-(C23*C21))/(C23+1)</f>
        <v>-0.13483333333333333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3BED-DBAE-4B7C-A028-43AAB4A3E725}">
  <dimension ref="B1:I32"/>
  <sheetViews>
    <sheetView topLeftCell="A2" workbookViewId="0">
      <selection activeCell="A2" sqref="A1:XFD1048576"/>
    </sheetView>
  </sheetViews>
  <sheetFormatPr defaultRowHeight="14.4" x14ac:dyDescent="0.3"/>
  <cols>
    <col min="1" max="1" width="3.33203125" customWidth="1"/>
    <col min="2" max="2" width="57.33203125" customWidth="1"/>
    <col min="5" max="5" width="40.109375" customWidth="1"/>
  </cols>
  <sheetData>
    <row r="1" spans="2:6" x14ac:dyDescent="0.3">
      <c r="B1" t="s">
        <v>70</v>
      </c>
    </row>
    <row r="2" spans="2:6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6" x14ac:dyDescent="0.3">
      <c r="B3" s="5" t="s">
        <v>31</v>
      </c>
      <c r="C3" s="5"/>
      <c r="D3" s="4"/>
      <c r="E3" s="5" t="s">
        <v>33</v>
      </c>
      <c r="F3" s="5"/>
    </row>
    <row r="4" spans="2:6" x14ac:dyDescent="0.3">
      <c r="B4" t="s">
        <v>87</v>
      </c>
      <c r="C4" s="1">
        <v>30</v>
      </c>
      <c r="E4" t="s">
        <v>69</v>
      </c>
      <c r="F4" s="2">
        <v>0</v>
      </c>
    </row>
    <row r="5" spans="2:6" x14ac:dyDescent="0.3">
      <c r="B5" t="s">
        <v>88</v>
      </c>
      <c r="C5" s="1">
        <v>50</v>
      </c>
      <c r="E5" t="s">
        <v>68</v>
      </c>
      <c r="F5" s="2">
        <v>0</v>
      </c>
    </row>
    <row r="6" spans="2:6" x14ac:dyDescent="0.3">
      <c r="B6" t="s">
        <v>67</v>
      </c>
      <c r="C6" s="1">
        <v>23.875</v>
      </c>
      <c r="E6" t="s">
        <v>66</v>
      </c>
      <c r="F6" s="2">
        <f>((C5-C7)/2)+C20/2</f>
        <v>4.3729999999999984</v>
      </c>
    </row>
    <row r="7" spans="2:6" x14ac:dyDescent="0.3">
      <c r="B7" t="s">
        <v>65</v>
      </c>
      <c r="C7" s="1">
        <v>42.063000000000002</v>
      </c>
      <c r="E7" t="s">
        <v>64</v>
      </c>
      <c r="F7" s="2">
        <f>F6</f>
        <v>4.3729999999999984</v>
      </c>
    </row>
    <row r="8" spans="2:6" x14ac:dyDescent="0.3">
      <c r="C8" s="8"/>
      <c r="E8" t="s">
        <v>63</v>
      </c>
      <c r="F8" s="2">
        <f>F9</f>
        <v>3.4670000000000001</v>
      </c>
    </row>
    <row r="9" spans="2:6" x14ac:dyDescent="0.3">
      <c r="C9" s="8"/>
      <c r="E9" t="s">
        <v>62</v>
      </c>
      <c r="F9" s="2">
        <f>((C4-C6)/2) + C20/2</f>
        <v>3.4670000000000001</v>
      </c>
    </row>
    <row r="19" spans="2:9" x14ac:dyDescent="0.3">
      <c r="B19" s="5" t="s">
        <v>30</v>
      </c>
      <c r="C19" s="4"/>
      <c r="D19" s="4"/>
      <c r="E19" s="5" t="s">
        <v>32</v>
      </c>
      <c r="F19" s="4"/>
      <c r="G19" s="4"/>
      <c r="H19" s="4"/>
      <c r="I19" s="4"/>
    </row>
    <row r="20" spans="2:9" x14ac:dyDescent="0.3">
      <c r="B20" t="s">
        <v>34</v>
      </c>
      <c r="C20" s="1">
        <v>0.80900000000000005</v>
      </c>
      <c r="E20" t="s">
        <v>20</v>
      </c>
      <c r="F20" s="2">
        <f>C31+(0.5*C21)</f>
        <v>7.6886666666666663</v>
      </c>
      <c r="G20" s="2">
        <f>IF(C22&gt;1,(F20*2)+(0.5*C21),"")</f>
        <v>15.377333333333333</v>
      </c>
      <c r="H20" s="2" t="str">
        <f>IF(C22&gt;2,(F20*3)+(1*C21), "")</f>
        <v/>
      </c>
      <c r="I20" s="2" t="str">
        <f>IF(C22&gt;3,(F20*4)+(1.5*C21),"")</f>
        <v/>
      </c>
    </row>
    <row r="21" spans="2:9" x14ac:dyDescent="0.3">
      <c r="B21" t="s">
        <v>35</v>
      </c>
      <c r="C21" s="1">
        <v>0</v>
      </c>
      <c r="E21" t="s">
        <v>21</v>
      </c>
      <c r="F21" s="2">
        <f>C32+(0.5*C21)</f>
        <v>6.8756666666666675</v>
      </c>
      <c r="G21" s="2">
        <f>IF(C23&gt;1,(F21*2)+(0.5*C21),"")</f>
        <v>13.751333333333335</v>
      </c>
      <c r="H21" s="2">
        <f>IF(C23&gt;2,(F21*3)+(1*C21),"")</f>
        <v>20.627000000000002</v>
      </c>
      <c r="I21" s="2">
        <f>IF(C23&gt;3,(F21*4)+(1.5*C21),"")</f>
        <v>27.50266666666667</v>
      </c>
    </row>
    <row r="22" spans="2:9" x14ac:dyDescent="0.3">
      <c r="B22" t="s">
        <v>61</v>
      </c>
      <c r="C22" s="1">
        <v>2</v>
      </c>
    </row>
    <row r="23" spans="2:9" x14ac:dyDescent="0.3">
      <c r="B23" t="s">
        <v>60</v>
      </c>
      <c r="C23" s="1">
        <v>5</v>
      </c>
    </row>
    <row r="25" spans="2:9" x14ac:dyDescent="0.3">
      <c r="E25" t="s">
        <v>24</v>
      </c>
      <c r="F25" s="2">
        <f>F20+F9</f>
        <v>11.155666666666667</v>
      </c>
      <c r="G25" s="2">
        <f>IF(C22&gt;1,G20+F9,"")</f>
        <v>18.844333333333331</v>
      </c>
      <c r="H25" s="2" t="str">
        <f>IF(C22&gt;2,H20+F9,"")</f>
        <v/>
      </c>
      <c r="I25" s="2" t="str">
        <f>IF(C22&gt;3,I20+F9,"")</f>
        <v/>
      </c>
    </row>
    <row r="26" spans="2:9" x14ac:dyDescent="0.3">
      <c r="E26" t="s">
        <v>25</v>
      </c>
      <c r="F26" s="2">
        <f>F21+F7</f>
        <v>11.248666666666665</v>
      </c>
      <c r="G26" s="2">
        <f>IF(C23&gt;1,G21+F7,"")</f>
        <v>18.124333333333333</v>
      </c>
      <c r="H26" s="2">
        <f>IF(C23&gt;2,H21+F7,"")</f>
        <v>25</v>
      </c>
      <c r="I26" s="2">
        <f>IF(C23&gt;3,I21+F7,"")</f>
        <v>31.875666666666667</v>
      </c>
    </row>
    <row r="29" spans="2:9" x14ac:dyDescent="0.3">
      <c r="B29" t="s">
        <v>59</v>
      </c>
      <c r="C29">
        <f>C4-(F9+F8)</f>
        <v>23.065999999999999</v>
      </c>
    </row>
    <row r="30" spans="2:9" x14ac:dyDescent="0.3">
      <c r="B30" t="s">
        <v>58</v>
      </c>
      <c r="C30">
        <f>C5-(F6+F7)</f>
        <v>41.254000000000005</v>
      </c>
    </row>
    <row r="31" spans="2:9" x14ac:dyDescent="0.3">
      <c r="B31" t="s">
        <v>57</v>
      </c>
      <c r="C31">
        <f>(C29-(C22*C21))/(C22+1)</f>
        <v>7.6886666666666663</v>
      </c>
    </row>
    <row r="32" spans="2:9" x14ac:dyDescent="0.3">
      <c r="B32" t="s">
        <v>56</v>
      </c>
      <c r="C32">
        <f>(C30-(C23*C21))/(C23+1)</f>
        <v>6.8756666666666675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E757-0842-44AF-BF50-1520C583024E}">
  <dimension ref="B1:M32"/>
  <sheetViews>
    <sheetView zoomScale="90" zoomScaleNormal="90" workbookViewId="0">
      <selection sqref="A1:XFD1048576"/>
    </sheetView>
  </sheetViews>
  <sheetFormatPr defaultRowHeight="14.4" x14ac:dyDescent="0.3"/>
  <cols>
    <col min="1" max="1" width="2.88671875" customWidth="1"/>
    <col min="2" max="2" width="57.5546875" customWidth="1"/>
    <col min="3" max="3" width="9.109375" customWidth="1"/>
    <col min="4" max="4" width="2.88671875" customWidth="1"/>
    <col min="5" max="5" width="30.6640625" customWidth="1"/>
    <col min="6" max="6" width="9.33203125" customWidth="1"/>
    <col min="10" max="13" width="9.109375" hidden="1" customWidth="1"/>
  </cols>
  <sheetData>
    <row r="1" spans="2:11" x14ac:dyDescent="0.3">
      <c r="B1" t="s">
        <v>70</v>
      </c>
    </row>
    <row r="2" spans="2:11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11" x14ac:dyDescent="0.3">
      <c r="B3" s="5" t="s">
        <v>31</v>
      </c>
      <c r="C3" s="5"/>
      <c r="D3" s="4"/>
      <c r="E3" s="5" t="s">
        <v>33</v>
      </c>
      <c r="F3" s="5"/>
    </row>
    <row r="4" spans="2:11" x14ac:dyDescent="0.3">
      <c r="B4" t="s">
        <v>87</v>
      </c>
      <c r="C4" s="1">
        <v>30</v>
      </c>
      <c r="E4" t="s">
        <v>69</v>
      </c>
      <c r="F4" s="2">
        <v>0</v>
      </c>
      <c r="K4" s="1">
        <v>36</v>
      </c>
    </row>
    <row r="5" spans="2:11" x14ac:dyDescent="0.3">
      <c r="B5" t="s">
        <v>88</v>
      </c>
      <c r="C5" s="1">
        <v>50</v>
      </c>
      <c r="E5" t="s">
        <v>68</v>
      </c>
      <c r="F5" s="2">
        <v>0</v>
      </c>
      <c r="K5" s="1">
        <v>36</v>
      </c>
    </row>
    <row r="6" spans="2:11" x14ac:dyDescent="0.3">
      <c r="B6" t="s">
        <v>67</v>
      </c>
      <c r="C6" s="1">
        <v>23.875</v>
      </c>
      <c r="E6" t="s">
        <v>66</v>
      </c>
      <c r="F6" s="2">
        <f>(C9+(C20/2))</f>
        <v>4.2282099999999998</v>
      </c>
      <c r="K6" s="1">
        <v>35.258000000000003</v>
      </c>
    </row>
    <row r="7" spans="2:11" x14ac:dyDescent="0.3">
      <c r="B7" t="s">
        <v>65</v>
      </c>
      <c r="C7" s="1">
        <v>42.063000000000002</v>
      </c>
      <c r="E7" t="s">
        <v>64</v>
      </c>
      <c r="F7" s="2">
        <f>(C8+(C20/2))</f>
        <v>4.5177899999999998</v>
      </c>
      <c r="K7" s="1">
        <v>35.258000000000003</v>
      </c>
    </row>
    <row r="8" spans="2:11" x14ac:dyDescent="0.3">
      <c r="B8" t="s">
        <v>29</v>
      </c>
      <c r="C8" s="1">
        <v>4.1132900000000001</v>
      </c>
      <c r="E8" t="s">
        <v>63</v>
      </c>
      <c r="F8" s="2">
        <f>F9</f>
        <v>3.4670000000000001</v>
      </c>
    </row>
    <row r="9" spans="2:11" x14ac:dyDescent="0.3">
      <c r="B9" t="s">
        <v>28</v>
      </c>
      <c r="C9" s="1">
        <v>3.8237100000000002</v>
      </c>
      <c r="E9" t="s">
        <v>62</v>
      </c>
      <c r="F9" s="2">
        <f>((C4-C6) + C20)/2</f>
        <v>3.4670000000000001</v>
      </c>
    </row>
    <row r="19" spans="2:13" ht="15" thickBot="1" x14ac:dyDescent="0.35">
      <c r="B19" s="5" t="s">
        <v>30</v>
      </c>
      <c r="C19" s="4"/>
      <c r="D19" s="4"/>
      <c r="E19" s="5" t="s">
        <v>32</v>
      </c>
      <c r="F19" s="4"/>
      <c r="G19" s="4"/>
      <c r="H19" s="4"/>
      <c r="I19" s="4"/>
      <c r="K19" s="6" t="s">
        <v>55</v>
      </c>
      <c r="L19" s="7"/>
    </row>
    <row r="20" spans="2:13" ht="15" thickTop="1" x14ac:dyDescent="0.3">
      <c r="B20" t="s">
        <v>34</v>
      </c>
      <c r="C20" s="1">
        <v>0.80900000000000005</v>
      </c>
      <c r="E20" t="s">
        <v>20</v>
      </c>
      <c r="F20" s="2">
        <f>C31+(0.5*C21)</f>
        <v>7.6886666666666663</v>
      </c>
      <c r="G20" s="2">
        <f>IF(C22&gt;1,(F20*2)+(0.5*C21),"")</f>
        <v>15.377333333333333</v>
      </c>
      <c r="H20" s="2" t="str">
        <f>IF(C22&gt;2,(F20*3)+(1*C21), "")</f>
        <v/>
      </c>
      <c r="I20" s="2" t="str">
        <f>IF(C22&gt;3,(F20*4)+(1.5*C21),"")</f>
        <v/>
      </c>
      <c r="J20">
        <f>F20*2</f>
        <v>15.377333333333333</v>
      </c>
      <c r="K20">
        <f>F20+G20</f>
        <v>23.065999999999999</v>
      </c>
      <c r="L20" t="e">
        <f>H20+F20</f>
        <v>#VALUE!</v>
      </c>
      <c r="M20" t="e">
        <f>I20+F20</f>
        <v>#VALUE!</v>
      </c>
    </row>
    <row r="21" spans="2:13" x14ac:dyDescent="0.3">
      <c r="B21" t="s">
        <v>35</v>
      </c>
      <c r="C21" s="1">
        <v>0</v>
      </c>
      <c r="E21" t="s">
        <v>21</v>
      </c>
      <c r="F21" s="2">
        <f>C32+(0.5*C21)</f>
        <v>6.8756666666666675</v>
      </c>
      <c r="G21" s="2">
        <f>IF(C23&gt;1,(F21*2)+(0.5*C21),"")</f>
        <v>13.751333333333335</v>
      </c>
      <c r="H21" s="2">
        <f>IF(C23&gt;2,(F21*3)+(1*C21),"")</f>
        <v>20.627000000000002</v>
      </c>
      <c r="I21" s="2">
        <f>IF(C23&gt;3,(F21*4)+(1.5*C21),"")</f>
        <v>27.50266666666667</v>
      </c>
      <c r="J21">
        <f>F21*2</f>
        <v>13.751333333333335</v>
      </c>
      <c r="K21">
        <f>G21+F21</f>
        <v>20.627000000000002</v>
      </c>
      <c r="L21">
        <f>H21+F21</f>
        <v>27.50266666666667</v>
      </c>
      <c r="M21">
        <f>I21+F21</f>
        <v>34.378333333333337</v>
      </c>
    </row>
    <row r="22" spans="2:13" x14ac:dyDescent="0.3">
      <c r="B22" t="s">
        <v>61</v>
      </c>
      <c r="C22" s="1">
        <v>2</v>
      </c>
    </row>
    <row r="23" spans="2:13" x14ac:dyDescent="0.3">
      <c r="B23" t="s">
        <v>60</v>
      </c>
      <c r="C23" s="1">
        <v>5</v>
      </c>
    </row>
    <row r="25" spans="2:13" x14ac:dyDescent="0.3">
      <c r="E25" t="s">
        <v>24</v>
      </c>
      <c r="F25" s="2">
        <f>F20+F9</f>
        <v>11.155666666666667</v>
      </c>
      <c r="G25" s="2">
        <f>IF(C22&gt;1,G20+F9,"")</f>
        <v>18.844333333333331</v>
      </c>
      <c r="H25" s="2" t="str">
        <f>IF(C22&gt;2,H20+F9,"")</f>
        <v/>
      </c>
      <c r="I25" s="2" t="str">
        <f>IF(C22&gt;3,I20+F9,"")</f>
        <v/>
      </c>
    </row>
    <row r="26" spans="2:13" ht="18" customHeight="1" x14ac:dyDescent="0.3">
      <c r="E26" t="s">
        <v>25</v>
      </c>
      <c r="F26" s="2">
        <f>F21+F7</f>
        <v>11.393456666666667</v>
      </c>
      <c r="G26" s="2">
        <f>IF(C23&gt;1,G21+F7,"")</f>
        <v>18.269123333333333</v>
      </c>
      <c r="H26" s="2">
        <f>IF(C23&gt;2,H21+F7,"")</f>
        <v>25.14479</v>
      </c>
      <c r="I26" s="2">
        <f>IF(C23&gt;3,I21+F7,"")</f>
        <v>32.020456666666668</v>
      </c>
    </row>
    <row r="27" spans="2:13" ht="12.75" customHeight="1" x14ac:dyDescent="0.3">
      <c r="K27">
        <f>C30+F7+F6</f>
        <v>50</v>
      </c>
    </row>
    <row r="28" spans="2:13" ht="13.5" customHeight="1" x14ac:dyDescent="0.3">
      <c r="K28">
        <f>C29+F8+F9</f>
        <v>29.999999999999996</v>
      </c>
    </row>
    <row r="29" spans="2:13" ht="15" customHeight="1" x14ac:dyDescent="0.3">
      <c r="B29" t="s">
        <v>59</v>
      </c>
      <c r="C29">
        <f>C4-(F9+F8)</f>
        <v>23.065999999999999</v>
      </c>
    </row>
    <row r="30" spans="2:13" ht="15.75" customHeight="1" x14ac:dyDescent="0.3">
      <c r="B30" t="s">
        <v>58</v>
      </c>
      <c r="C30">
        <f>C5-(F6+F7)</f>
        <v>41.254000000000005</v>
      </c>
    </row>
    <row r="31" spans="2:13" ht="14.25" customHeight="1" x14ac:dyDescent="0.3">
      <c r="B31" t="s">
        <v>57</v>
      </c>
      <c r="C31">
        <f>(C29-(C22*C21))/(C22+1)</f>
        <v>7.6886666666666663</v>
      </c>
    </row>
    <row r="32" spans="2:13" ht="14.25" customHeight="1" x14ac:dyDescent="0.3">
      <c r="B32" t="s">
        <v>56</v>
      </c>
      <c r="C32">
        <f>(C30-(C23*C21))/(C23+1)</f>
        <v>6.8756666666666675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FCA28-73FE-4DC9-AEC4-7C3C0228F342}">
  <dimension ref="B1:M39"/>
  <sheetViews>
    <sheetView zoomScale="90" zoomScaleNormal="90" workbookViewId="0">
      <selection activeCell="B1" sqref="B1"/>
    </sheetView>
  </sheetViews>
  <sheetFormatPr defaultRowHeight="14.4" x14ac:dyDescent="0.3"/>
  <cols>
    <col min="1" max="1" width="2.88671875" customWidth="1"/>
    <col min="2" max="2" width="67.33203125" customWidth="1"/>
    <col min="3" max="3" width="9.109375" customWidth="1"/>
    <col min="4" max="4" width="2.88671875" customWidth="1"/>
    <col min="5" max="5" width="30.6640625" customWidth="1"/>
    <col min="6" max="6" width="9.109375" customWidth="1"/>
    <col min="10" max="13" width="9.109375" hidden="1" customWidth="1"/>
  </cols>
  <sheetData>
    <row r="1" spans="2:12" x14ac:dyDescent="0.3">
      <c r="B1" t="s">
        <v>91</v>
      </c>
    </row>
    <row r="2" spans="2:12" x14ac:dyDescent="0.3">
      <c r="B2" s="3" t="s">
        <v>0</v>
      </c>
      <c r="C2" s="3" t="s">
        <v>1</v>
      </c>
      <c r="E2" s="3" t="s">
        <v>6</v>
      </c>
      <c r="F2" s="3" t="s">
        <v>1</v>
      </c>
    </row>
    <row r="3" spans="2:12" x14ac:dyDescent="0.3">
      <c r="B3" s="5" t="s">
        <v>31</v>
      </c>
      <c r="C3" s="5"/>
      <c r="D3" s="4"/>
      <c r="E3" s="5" t="s">
        <v>33</v>
      </c>
      <c r="F3" s="5"/>
    </row>
    <row r="4" spans="2:12" x14ac:dyDescent="0.3">
      <c r="B4" t="s">
        <v>87</v>
      </c>
      <c r="C4" s="1">
        <v>75</v>
      </c>
      <c r="E4" t="s">
        <v>9</v>
      </c>
      <c r="F4" s="2">
        <v>0</v>
      </c>
      <c r="K4" s="1">
        <v>75</v>
      </c>
      <c r="L4" s="1">
        <v>75</v>
      </c>
    </row>
    <row r="5" spans="2:12" x14ac:dyDescent="0.3">
      <c r="B5" t="s">
        <v>88</v>
      </c>
      <c r="C5" s="1">
        <v>30</v>
      </c>
      <c r="E5" t="s">
        <v>10</v>
      </c>
      <c r="F5" s="2">
        <v>0</v>
      </c>
      <c r="K5" s="1">
        <v>35</v>
      </c>
      <c r="L5" s="1">
        <v>35</v>
      </c>
    </row>
    <row r="6" spans="2:12" x14ac:dyDescent="0.3">
      <c r="B6" t="s">
        <v>2</v>
      </c>
      <c r="C6" s="1">
        <v>20.437999999999999</v>
      </c>
      <c r="E6" t="s">
        <v>49</v>
      </c>
      <c r="F6" s="2">
        <f>(C5-C7) /2 + (C20/2)</f>
        <v>3.4670000000000001</v>
      </c>
      <c r="K6" s="1">
        <v>32.280999999999999</v>
      </c>
      <c r="L6" s="1">
        <v>21.905999999999999</v>
      </c>
    </row>
    <row r="7" spans="2:12" x14ac:dyDescent="0.3">
      <c r="B7" t="s">
        <v>3</v>
      </c>
      <c r="C7" s="1">
        <v>23.875</v>
      </c>
      <c r="E7" t="s">
        <v>50</v>
      </c>
      <c r="F7" s="2">
        <f>F6</f>
        <v>3.4670000000000001</v>
      </c>
      <c r="K7" s="1">
        <v>29.062999999999999</v>
      </c>
      <c r="L7" s="1">
        <v>29.062999999999999</v>
      </c>
    </row>
    <row r="8" spans="2:12" x14ac:dyDescent="0.3">
      <c r="B8" t="s">
        <v>4</v>
      </c>
      <c r="C8" s="1">
        <v>20.437999999999999</v>
      </c>
      <c r="E8" t="s">
        <v>14</v>
      </c>
      <c r="F8" s="2">
        <f>C7-C9</f>
        <v>0</v>
      </c>
      <c r="K8" s="1">
        <v>16.687999999999999</v>
      </c>
      <c r="L8" s="1">
        <v>21.905999999999999</v>
      </c>
    </row>
    <row r="9" spans="2:12" x14ac:dyDescent="0.3">
      <c r="B9" t="s">
        <v>5</v>
      </c>
      <c r="C9" s="1">
        <v>23.875</v>
      </c>
      <c r="E9" t="s">
        <v>15</v>
      </c>
      <c r="F9" s="2">
        <f>C6-C8</f>
        <v>0</v>
      </c>
      <c r="K9" s="1">
        <v>29.062999999999999</v>
      </c>
      <c r="L9" s="1">
        <v>29.062999999999999</v>
      </c>
    </row>
    <row r="10" spans="2:12" x14ac:dyDescent="0.3">
      <c r="B10" t="s">
        <v>79</v>
      </c>
      <c r="C10" s="1">
        <v>4.2096</v>
      </c>
      <c r="E10" t="s">
        <v>52</v>
      </c>
      <c r="F10" s="2">
        <f>(C5-C9)/2 + C20/2</f>
        <v>3.4670000000000001</v>
      </c>
      <c r="K10" s="1">
        <v>3.7189999999999999</v>
      </c>
      <c r="L10" s="1">
        <v>3.7189999999999999</v>
      </c>
    </row>
    <row r="11" spans="2:12" x14ac:dyDescent="0.3">
      <c r="B11" t="s">
        <v>73</v>
      </c>
      <c r="C11" s="1">
        <v>333</v>
      </c>
      <c r="E11" t="s">
        <v>53</v>
      </c>
      <c r="F11" s="2">
        <f>F10</f>
        <v>3.4670000000000001</v>
      </c>
      <c r="K11" s="1">
        <v>424</v>
      </c>
      <c r="L11" s="1">
        <v>333</v>
      </c>
    </row>
    <row r="12" spans="2:12" x14ac:dyDescent="0.3">
      <c r="E12" t="s">
        <v>54</v>
      </c>
      <c r="F12" s="2">
        <f>C10+(C20/2)</f>
        <v>4.6140999999999996</v>
      </c>
    </row>
    <row r="13" spans="2:12" x14ac:dyDescent="0.3">
      <c r="E13" t="s">
        <v>40</v>
      </c>
      <c r="F13" s="2">
        <f>(C4/2-C10-C8-C6/2)+C20</f>
        <v>3.4424000000000001</v>
      </c>
    </row>
    <row r="14" spans="2:12" x14ac:dyDescent="0.3">
      <c r="E14" t="s">
        <v>19</v>
      </c>
      <c r="F14" s="2">
        <f>IF(C11=424, ((((C4-((F12*2)+(F13*2)))/2)-(C6-C20))/2),  (((C8+C20)/2-(C6+C20)/2)/2))</f>
        <v>0</v>
      </c>
    </row>
    <row r="19" spans="2:13" ht="15" thickBot="1" x14ac:dyDescent="0.35">
      <c r="B19" s="5" t="s">
        <v>30</v>
      </c>
      <c r="C19" s="4"/>
      <c r="D19" s="4"/>
      <c r="E19" s="5" t="s">
        <v>32</v>
      </c>
      <c r="F19" s="4"/>
      <c r="G19" s="4"/>
      <c r="H19" s="4"/>
      <c r="I19" s="4"/>
      <c r="K19" s="6" t="s">
        <v>55</v>
      </c>
      <c r="L19" s="7"/>
    </row>
    <row r="20" spans="2:13" ht="15" thickTop="1" x14ac:dyDescent="0.3">
      <c r="B20" t="s">
        <v>34</v>
      </c>
      <c r="C20" s="1">
        <v>0.80900000000000005</v>
      </c>
      <c r="E20" t="s">
        <v>20</v>
      </c>
      <c r="F20" s="2">
        <f>C33+(0.5*C21)</f>
        <v>6.5430000000000001</v>
      </c>
      <c r="G20" s="2">
        <f>IF(C22&gt;1,(F20*2)+(0.5*C21),"")</f>
        <v>13.086</v>
      </c>
      <c r="H20" s="2" t="str">
        <f>IF(C22&gt;2,(F20*3)+(1*C21), "")</f>
        <v/>
      </c>
      <c r="I20" s="2" t="str">
        <f>IF(C22&gt;3,(F20*4)+(1.5*C21),"")</f>
        <v/>
      </c>
      <c r="J20">
        <f>F20*2</f>
        <v>13.086</v>
      </c>
      <c r="K20">
        <f>F20+G20</f>
        <v>19.629000000000001</v>
      </c>
      <c r="L20" t="e">
        <f>H20+F20</f>
        <v>#VALUE!</v>
      </c>
      <c r="M20" t="e">
        <f>I20+F20</f>
        <v>#VALUE!</v>
      </c>
    </row>
    <row r="21" spans="2:13" x14ac:dyDescent="0.3">
      <c r="B21" t="s">
        <v>35</v>
      </c>
      <c r="C21" s="1">
        <v>0</v>
      </c>
      <c r="E21" t="s">
        <v>21</v>
      </c>
      <c r="F21" s="2">
        <f>C34+(0.5*C21)</f>
        <v>7.6886666666666663</v>
      </c>
      <c r="G21" s="2">
        <f>IF(C23&gt;1,(F21*2)+(0.5*C21),"")</f>
        <v>15.377333333333333</v>
      </c>
      <c r="H21" s="2" t="str">
        <f>IF(C23&gt;2,(F21*3)+(1*C21),"")</f>
        <v/>
      </c>
      <c r="I21" s="2" t="str">
        <f>IF(C23&gt;3,(F21*4)+(1.5*C21),"")</f>
        <v/>
      </c>
      <c r="J21">
        <f>F21*2</f>
        <v>15.377333333333333</v>
      </c>
      <c r="K21">
        <f>G21+F21</f>
        <v>23.065999999999999</v>
      </c>
      <c r="L21" t="e">
        <f>H21+F21</f>
        <v>#VALUE!</v>
      </c>
      <c r="M21" t="e">
        <f>I21+F21</f>
        <v>#VALUE!</v>
      </c>
    </row>
    <row r="22" spans="2:13" x14ac:dyDescent="0.3">
      <c r="B22" t="s">
        <v>36</v>
      </c>
      <c r="C22" s="1">
        <v>2</v>
      </c>
      <c r="E22" t="s">
        <v>22</v>
      </c>
      <c r="F22" s="2">
        <f>(C38+(0.5*C21))</f>
        <v>6.5430000000000001</v>
      </c>
      <c r="G22" s="2">
        <f>IF(C24&gt;1,(F22*2)+(0.5*C21)-(0.5*F34),"")</f>
        <v>13.086</v>
      </c>
      <c r="H22" s="2" t="str">
        <f>IF(C24&gt;2,(F22*3)+(1*C21)-(1*F34), "")</f>
        <v/>
      </c>
      <c r="I22" s="2" t="str">
        <f>IF(C24&gt;3,(F22*4)+(1.5*C21)-(1.5*F34),"")</f>
        <v/>
      </c>
      <c r="J22">
        <f>F22*2</f>
        <v>13.086</v>
      </c>
      <c r="K22">
        <f>G22+F22</f>
        <v>19.629000000000001</v>
      </c>
      <c r="L22" t="e">
        <f>H22+F22</f>
        <v>#VALUE!</v>
      </c>
      <c r="M22" t="e">
        <f>I22+F22</f>
        <v>#VALUE!</v>
      </c>
    </row>
    <row r="23" spans="2:13" x14ac:dyDescent="0.3">
      <c r="B23" t="s">
        <v>38</v>
      </c>
      <c r="C23" s="1">
        <v>2</v>
      </c>
      <c r="E23" t="s">
        <v>23</v>
      </c>
      <c r="F23" s="2">
        <f>(C39+(0.5*C21))</f>
        <v>7.6886666666666663</v>
      </c>
      <c r="G23" s="2">
        <f>IF(C25&gt;1,(F23*2)+(0.5*C21)-(0.5*F36),"")</f>
        <v>15.377333333333333</v>
      </c>
      <c r="H23" s="2" t="str">
        <f>IF(C25&gt;2,(F23*3)+(1*C21)-(1*F36),"")</f>
        <v/>
      </c>
      <c r="I23" s="2" t="str">
        <f>IF(C25&gt;3,(F23*4)+(1.5*C21)-(1.5*F36),"")</f>
        <v/>
      </c>
      <c r="J23">
        <f>F23*2</f>
        <v>15.377333333333333</v>
      </c>
      <c r="K23">
        <f>G23+F23</f>
        <v>23.065999999999999</v>
      </c>
      <c r="L23" t="e">
        <f>H23+F23</f>
        <v>#VALUE!</v>
      </c>
      <c r="M23" t="e">
        <f>I23+F23</f>
        <v>#VALUE!</v>
      </c>
    </row>
    <row r="24" spans="2:13" x14ac:dyDescent="0.3">
      <c r="B24" t="s">
        <v>7</v>
      </c>
      <c r="C24" s="1">
        <v>2</v>
      </c>
      <c r="F24" s="2"/>
      <c r="G24" s="2"/>
      <c r="H24" s="2"/>
      <c r="I24" s="2"/>
    </row>
    <row r="25" spans="2:13" x14ac:dyDescent="0.3">
      <c r="B25" t="s">
        <v>8</v>
      </c>
      <c r="C25" s="1">
        <v>2</v>
      </c>
      <c r="E25" t="s">
        <v>24</v>
      </c>
      <c r="F25" s="2">
        <f>F20+C36+F13+F12</f>
        <v>34.228499999999997</v>
      </c>
      <c r="G25" s="2">
        <f>IF(C22&gt;1,G20+C36+F13+F12,"")</f>
        <v>40.771500000000003</v>
      </c>
      <c r="H25" s="2" t="str">
        <f>IF(C22&gt;2,H20+C36+F13+F12,"")</f>
        <v/>
      </c>
      <c r="I25" s="2" t="str">
        <f>IF(C22&gt;3,I20+C36+F13+F12,"")</f>
        <v/>
      </c>
    </row>
    <row r="26" spans="2:13" x14ac:dyDescent="0.3">
      <c r="E26" t="s">
        <v>25</v>
      </c>
      <c r="F26" s="2">
        <f>F21+F7</f>
        <v>11.155666666666667</v>
      </c>
      <c r="G26" s="2">
        <f>IF(C23&gt;1,G21+F7,"")</f>
        <v>18.844333333333331</v>
      </c>
      <c r="H26" s="2" t="str">
        <f>IF(C23&gt;2,H21+F7,"")</f>
        <v/>
      </c>
      <c r="I26" s="2" t="str">
        <f>IF(C23&gt;3,I21+F7,"")</f>
        <v/>
      </c>
    </row>
    <row r="27" spans="2:13" x14ac:dyDescent="0.3">
      <c r="E27" t="s">
        <v>74</v>
      </c>
      <c r="F27" s="2">
        <f>IF(F22&gt;0, F22+(F13*2)+C31+C36+F12, "")</f>
        <v>57.299900000000001</v>
      </c>
      <c r="G27" s="2">
        <f>IF(C24&lt;2, "", IF(G22&lt;C36, G22+(F13*2)+C31+C36+F12, ""))</f>
        <v>63.842900000000007</v>
      </c>
      <c r="H27" s="2" t="str">
        <f>IF(C24&lt;3,"",IF(H22&lt;C36,H22+(F13*2)+C31+C36+F12,""))</f>
        <v/>
      </c>
      <c r="I27" s="2" t="str">
        <f>IF(C24&lt;4, "", IF(I22&lt;C36, I22+(F13*2)+C31+C36+F12, ""))</f>
        <v/>
      </c>
    </row>
    <row r="28" spans="2:13" x14ac:dyDescent="0.3">
      <c r="E28" t="s">
        <v>75</v>
      </c>
      <c r="F28" s="2">
        <f>F23+F11</f>
        <v>11.155666666666667</v>
      </c>
      <c r="G28" s="2">
        <f>IF(C25&gt;1,G23+F11,"")</f>
        <v>18.844333333333331</v>
      </c>
      <c r="H28" s="2" t="str">
        <f>IF(C25&gt;2,H23+F11,"")</f>
        <v/>
      </c>
      <c r="I28" s="2" t="str">
        <f>IF(C25&gt;3,I23+F11,"")</f>
        <v/>
      </c>
    </row>
    <row r="29" spans="2:13" x14ac:dyDescent="0.3">
      <c r="E29" t="s">
        <v>76</v>
      </c>
      <c r="F29" s="2">
        <f>IF(F22&gt;0, (F22+F12), "")</f>
        <v>11.1571</v>
      </c>
      <c r="G29" s="2">
        <f>IF(C24&lt;2, "", IF(G22&lt;C36, G22+F12, ""))</f>
        <v>17.700099999999999</v>
      </c>
      <c r="H29" s="2" t="str">
        <f>IF(C24&lt;3, "", IF(H22&lt;C36, H22+F12, ""))</f>
        <v/>
      </c>
      <c r="I29" s="2" t="str">
        <f>IF(C24&lt;4, "", IF(I22&lt;C36, I22+F12, ""))</f>
        <v/>
      </c>
    </row>
    <row r="30" spans="2:13" x14ac:dyDescent="0.3">
      <c r="E30" t="s">
        <v>77</v>
      </c>
      <c r="F30" s="2">
        <f>F23+F11</f>
        <v>11.155666666666667</v>
      </c>
      <c r="G30" s="2">
        <f>IF(C25&gt;1,G23+F11,"")</f>
        <v>18.844333333333331</v>
      </c>
      <c r="H30" s="2" t="str">
        <f>IF(C25&gt;2,H23+F11,"")</f>
        <v/>
      </c>
      <c r="I30" s="2" t="str">
        <f>IF(C25&gt;3,I23+F11,"")</f>
        <v/>
      </c>
    </row>
    <row r="31" spans="2:13" hidden="1" x14ac:dyDescent="0.3">
      <c r="B31" t="s">
        <v>41</v>
      </c>
      <c r="C31">
        <f>IF(C11=424, ((C4-((F12*2)+(F13*2)))/2)-(F14*2), ((C4-((F12*2)+(F13*2)))/3)-(F14*2))</f>
        <v>19.629000000000001</v>
      </c>
    </row>
    <row r="32" spans="2:13" hidden="1" x14ac:dyDescent="0.3">
      <c r="B32" t="s">
        <v>42</v>
      </c>
      <c r="C32">
        <f>C5-(F6+F7)</f>
        <v>23.065999999999999</v>
      </c>
    </row>
    <row r="33" spans="2:6" hidden="1" x14ac:dyDescent="0.3">
      <c r="B33" t="s">
        <v>37</v>
      </c>
      <c r="C33">
        <f>(C31-(C22*C21))/(C22+1)</f>
        <v>6.5430000000000001</v>
      </c>
    </row>
    <row r="34" spans="2:6" hidden="1" x14ac:dyDescent="0.3">
      <c r="B34" t="s">
        <v>39</v>
      </c>
      <c r="C34">
        <f>(C32-(C23*C21))/(C23+1)</f>
        <v>7.6886666666666663</v>
      </c>
      <c r="E34" t="s">
        <v>47</v>
      </c>
      <c r="F34">
        <f>C8-C6</f>
        <v>0</v>
      </c>
    </row>
    <row r="35" spans="2:6" hidden="1" x14ac:dyDescent="0.3"/>
    <row r="36" spans="2:6" hidden="1" x14ac:dyDescent="0.3">
      <c r="B36" t="s">
        <v>43</v>
      </c>
      <c r="C36">
        <f>IF(C11=424, ((C4-((F12*2)+(F13*2)))/4)+F14, ((C4-((F12*2)+(F13*2)))/3)+F14)</f>
        <v>19.629000000000001</v>
      </c>
      <c r="E36" t="s">
        <v>48</v>
      </c>
      <c r="F36">
        <f>C9-C7</f>
        <v>0</v>
      </c>
    </row>
    <row r="37" spans="2:6" hidden="1" x14ac:dyDescent="0.3">
      <c r="B37" t="s">
        <v>44</v>
      </c>
      <c r="C37">
        <f>C5-(F36)-(F10+F11)</f>
        <v>23.065999999999999</v>
      </c>
    </row>
    <row r="38" spans="2:6" hidden="1" x14ac:dyDescent="0.3">
      <c r="B38" t="s">
        <v>45</v>
      </c>
      <c r="C38">
        <f>((C36+((F34*0.5)*(C24-1))-(C24*C21))/(C24+1))</f>
        <v>6.5430000000000001</v>
      </c>
    </row>
    <row r="39" spans="2:6" hidden="1" x14ac:dyDescent="0.3">
      <c r="B39" t="s">
        <v>46</v>
      </c>
      <c r="C39">
        <f>(C37-(C25*C21))/(C25+1)+(0.5*F36)</f>
        <v>7.6886666666666663</v>
      </c>
    </row>
  </sheetData>
  <conditionalFormatting sqref="F22:I22">
    <cfRule type="cellIs" dxfId="1" priority="1" operator="greaterThan">
      <formula>$C$36-$C$20</formula>
    </cfRule>
    <cfRule type="cellIs" priority="2" operator="greaterThan">
      <formula>$C$36</formula>
    </cfRule>
    <cfRule type="cellIs" dxfId="0" priority="3" operator="lessThan">
      <formula>$C$20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er_x0020_Facing xmlns="ecb2b579-ac33-429a-bceb-bc05e3d4ff2a">No</Customer_x0020_Facing>
    <BP_x0020_Approved_x0020_By xmlns="ecb2b579-ac33-429a-bceb-bc05e3d4ff2a">Unapproved</BP_x0020_Approved_x0020_By>
    <SharedWithUsers xmlns="93cdb16f-5da3-4c78-b353-c4d47e5113c8">
      <UserInfo>
        <DisplayName>Megan Ra</DisplayName>
        <AccountId>3902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B6C0A51F48444A0EC03A7F316EAA2" ma:contentTypeVersion="28" ma:contentTypeDescription="Create a new document." ma:contentTypeScope="" ma:versionID="03eed8d1a43ddc72d846f4e18b7c2f2f">
  <xsd:schema xmlns:xsd="http://www.w3.org/2001/XMLSchema" xmlns:xs="http://www.w3.org/2001/XMLSchema" xmlns:p="http://schemas.microsoft.com/office/2006/metadata/properties" xmlns:ns2="3ee15532-c9c0-4e63-a661-d50b2cea61e0" xmlns:ns3="ecb2b579-ac33-429a-bceb-bc05e3d4ff2a" xmlns:ns4="93cdb16f-5da3-4c78-b353-c4d47e5113c8" xmlns:ns5="22c5ea44-8fc1-40ca-a7db-1e13648a1e02" targetNamespace="http://schemas.microsoft.com/office/2006/metadata/properties" ma:root="true" ma:fieldsID="b23b1357517d56c567325cd27fba7e00" ns2:_="" ns3:_="" ns4:_="" ns5:_="">
    <xsd:import namespace="3ee15532-c9c0-4e63-a661-d50b2cea61e0"/>
    <xsd:import namespace="ecb2b579-ac33-429a-bceb-bc05e3d4ff2a"/>
    <xsd:import namespace="93cdb16f-5da3-4c78-b353-c4d47e5113c8"/>
    <xsd:import namespace="22c5ea44-8fc1-40ca-a7db-1e13648a1e0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ustomer_x0020_Facing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BP_x0020_Approved_x0020_By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15532-c9c0-4e63-a661-d50b2cea61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2b579-ac33-429a-bceb-bc05e3d4ff2a" elementFormDefault="qualified">
    <xsd:import namespace="http://schemas.microsoft.com/office/2006/documentManagement/types"/>
    <xsd:import namespace="http://schemas.microsoft.com/office/infopath/2007/PartnerControls"/>
    <xsd:element name="Customer_x0020_Facing" ma:index="11" ma:displayName="Customer Facing" ma:default="No" ma:format="Dropdown" ma:internalName="Customer_x0020_Facing" ma:readOnly="false">
      <xsd:simpleType>
        <xsd:restriction base="dms:Choice">
          <xsd:enumeration value="No"/>
          <xsd:enumeration value="Yes"/>
        </xsd:restriction>
      </xsd:simpleType>
    </xsd:element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P_x0020_Approved_x0020_By" ma:index="20" nillable="true" ma:displayName="Approved By" ma:default="Unapproved" ma:description="Manager who approves that document contains information that should be followed as the Best Practice" ma:format="Dropdown" ma:internalName="BP_x0020_Approved_x0020_By">
      <xsd:simpleType>
        <xsd:restriction base="dms:Choice">
          <xsd:enumeration value="Unapproved"/>
          <xsd:enumeration value="Anderson, Ryan"/>
          <xsd:enumeration value="Buchanan, Matt"/>
          <xsd:enumeration value="Corlett, Garrit"/>
          <xsd:enumeration value="Fuller, Nick"/>
          <xsd:enumeration value="Markowski, John"/>
          <xsd:enumeration value="Morris, Craig"/>
          <xsd:enumeration value="Piscitelli, AJ"/>
          <xsd:enumeration value="Zelenskas, Berni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db16f-5da3-4c78-b353-c4d47e5113c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5ea44-8fc1-40ca-a7db-1e13648a1e02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1D470-F630-4089-BC46-0314F28B69E2}">
  <ds:schemaRefs>
    <ds:schemaRef ds:uri="http://purl.org/dc/terms/"/>
    <ds:schemaRef ds:uri="93cdb16f-5da3-4c78-b353-c4d47e5113c8"/>
    <ds:schemaRef ds:uri="3ee15532-c9c0-4e63-a661-d50b2cea61e0"/>
    <ds:schemaRef ds:uri="http://schemas.microsoft.com/office/2006/metadata/properties"/>
    <ds:schemaRef ds:uri="ecb2b579-ac33-429a-bceb-bc05e3d4ff2a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FD6A52-EB28-45AB-AE4E-A1E3EEF9D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15532-c9c0-4e63-a661-d50b2cea61e0"/>
    <ds:schemaRef ds:uri="ecb2b579-ac33-429a-bceb-bc05e3d4ff2a"/>
    <ds:schemaRef ds:uri="93cdb16f-5da3-4c78-b353-c4d47e5113c8"/>
    <ds:schemaRef ds:uri="22c5ea44-8fc1-40ca-a7db-1e13648a1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60F2D-CA99-4256-B221-5384360273F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3325F0B-53C6-4C3B-B225-AB51B8F931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Introduction</vt:lpstr>
      <vt:lpstr>Double Hung</vt:lpstr>
      <vt:lpstr>Slider</vt:lpstr>
      <vt:lpstr>Slider Not Centered</vt:lpstr>
      <vt:lpstr>T&amp;T</vt:lpstr>
      <vt:lpstr>T&amp;T Not Centered</vt:lpstr>
      <vt:lpstr>Picture+Awning+Casement</vt:lpstr>
      <vt:lpstr>PW+AWN+CS IG Not Centered</vt:lpstr>
      <vt:lpstr>3-Lite Slider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Display Object Param Calculator</dc:title>
  <dc:creator>Fuller, Nick</dc:creator>
  <cp:lastModifiedBy>Lynne Whitmore</cp:lastModifiedBy>
  <dcterms:created xsi:type="dcterms:W3CDTF">2017-01-24T17:17:54Z</dcterms:created>
  <dcterms:modified xsi:type="dcterms:W3CDTF">2025-10-29T17:31:40Z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0x010100F4FB6C0A51F48444A0EC03A7F316EAA2</vt:lpwstr>
  </property>
  <property fmtid="{D5CDD505-2E9C-101B-9397-08002B2CF9AE}" pid="3" name="AuthorIds_UIVersion_3584">
    <vt:lpwstr>51</vt:lpwstr>
  </property>
  <property fmtid="{D5CDD505-2E9C-101B-9397-08002B2CF9AE}" pid="4" name="Order">
    <vt:r8>64200</vt:r8>
  </property>
</Properties>
</file>